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440" windowHeight="15600" tabRatio="729" activeTab="0"/>
  </bookViews>
  <sheets>
    <sheet name="Compare ALL Varieties" sheetId="1" r:id="rId1"/>
    <sheet name="     Conventional" sheetId="2" r:id="rId2"/>
    <sheet name="     GT,  GL,  LL,  LLB2" sheetId="3" r:id="rId3"/>
    <sheet name="    RR-FLEX    " sheetId="4" r:id="rId4"/>
    <sheet name="     RR-FLEX Stacked" sheetId="5" r:id="rId5"/>
    <sheet name="      BG2,  WS,   WRF" sheetId="6" r:id="rId6"/>
    <sheet name="=|;-}" sheetId="7" r:id="rId7"/>
  </sheets>
  <definedNames>
    <definedName name="_xlnm.Print_Area" localSheetId="5">'      BG2,  WS,   WRF'!$B$2:$S$34</definedName>
    <definedName name="_xlnm.Print_Area" localSheetId="1">'     Conventional'!$B$2:$S$34</definedName>
    <definedName name="_xlnm.Print_Area" localSheetId="2">'     GT,  GL,  LL,  LLB2'!$B$2:$S$34</definedName>
    <definedName name="_xlnm.Print_Area" localSheetId="4">'     RR-FLEX Stacked'!$D$2:$S$34</definedName>
    <definedName name="_xlnm.Print_Area" localSheetId="3">'    RR-FLEX    '!$B$2:$S$34</definedName>
    <definedName name="_xlnm.Print_Area" localSheetId="0">'Compare ALL Varieties'!$B$2:$S$34</definedName>
  </definedNames>
  <calcPr fullCalcOnLoad="1"/>
</workbook>
</file>

<file path=xl/sharedStrings.xml><?xml version="1.0" encoding="utf-8"?>
<sst xmlns="http://schemas.openxmlformats.org/spreadsheetml/2006/main" count="2611" uniqueCount="245">
  <si>
    <t>Net Difference from 2010</t>
  </si>
  <si>
    <t>Net Difference from 2010</t>
  </si>
  <si>
    <t>PHY 367 WRF</t>
  </si>
  <si>
    <t>PHY 565 WRF</t>
  </si>
  <si>
    <t xml:space="preserve">Per Acre Seed Cost </t>
  </si>
  <si>
    <t>Row Spacing inches</t>
  </si>
  <si>
    <t>Seed Rate seed/acre</t>
  </si>
  <si>
    <t>Americot 1622 B2RF</t>
  </si>
  <si>
    <t>Americot 1664 B2RF</t>
  </si>
  <si>
    <t>Notes:</t>
  </si>
  <si>
    <t>All-Tex Patriot+ RF (65018)</t>
  </si>
  <si>
    <t>ST 5327 B2RF</t>
  </si>
  <si>
    <t>Picker</t>
  </si>
  <si>
    <t>Stripper</t>
  </si>
  <si>
    <t>DP 174 RF</t>
  </si>
  <si>
    <t>DP 161 B2RF</t>
  </si>
  <si>
    <t>DP 141 B2RF</t>
  </si>
  <si>
    <t>Americot 1550 B2RF</t>
  </si>
  <si>
    <t>NG 1551 RF</t>
  </si>
  <si>
    <t>NG 1556 RF</t>
  </si>
  <si>
    <t>NG 3410 RF</t>
  </si>
  <si>
    <t>NG 2549 B2RF</t>
  </si>
  <si>
    <t>NG 3348 B2RF</t>
  </si>
  <si>
    <t>DG 2400 RF</t>
  </si>
  <si>
    <t>DG 2570 B2RF</t>
  </si>
  <si>
    <t>LL</t>
  </si>
  <si>
    <t>Seed per row  foot</t>
  </si>
  <si>
    <t>FM 832 LL </t>
  </si>
  <si>
    <t>DP 0924 B2RF</t>
  </si>
  <si>
    <t>DP 104 B2RF</t>
  </si>
  <si>
    <t>All-Tex Xpress</t>
  </si>
  <si>
    <t>Even cost 2010</t>
  </si>
  <si>
    <t>Cost difference 2010-2011</t>
  </si>
  <si>
    <t>NG 2051 B2RF</t>
  </si>
  <si>
    <t>B2RF</t>
  </si>
  <si>
    <t>NG 4010 B2RF</t>
  </si>
  <si>
    <t>NG 4012 B2RF</t>
  </si>
  <si>
    <t>NG 4111 RF</t>
  </si>
  <si>
    <t>All-Tex 81158 RF</t>
  </si>
  <si>
    <t>All-Tex 81220 B2RF</t>
  </si>
  <si>
    <t>All-Tex 81227 B2RF</t>
  </si>
  <si>
    <t>2009 Seed Count</t>
  </si>
  <si>
    <t>DP 1028 B2RF</t>
  </si>
  <si>
    <t>DP 1032 B2RF</t>
  </si>
  <si>
    <t>DP 1034 B2RF</t>
  </si>
  <si>
    <t>DP 1044 B2RF</t>
  </si>
  <si>
    <t>DP 1048 B2RF</t>
  </si>
  <si>
    <t>DP 1050 B2RF</t>
  </si>
  <si>
    <t>DP 1133 B2RF</t>
  </si>
  <si>
    <t>DP 1137 B2RF</t>
  </si>
  <si>
    <t>DG 2450 B2RF</t>
  </si>
  <si>
    <t>DP 399</t>
  </si>
  <si>
    <t>DP 493</t>
  </si>
  <si>
    <t>CONV</t>
  </si>
  <si>
    <t>FM 9250 GL</t>
  </si>
  <si>
    <t>NG 3538 RF</t>
  </si>
  <si>
    <t>PHY 499 WRF</t>
  </si>
  <si>
    <t>PHY 569 WRF</t>
  </si>
  <si>
    <t>All estimated Per-Acre costs calculated are derived using Manufacturers Suggested Retail Prices.</t>
  </si>
  <si>
    <t>STEP ONE.</t>
  </si>
  <si>
    <t>STEP TWO.</t>
  </si>
  <si>
    <t>RR</t>
  </si>
  <si>
    <t>Seed cost</t>
  </si>
  <si>
    <t>Tech fee</t>
  </si>
  <si>
    <t>Total cost</t>
  </si>
  <si>
    <t>seed per bag</t>
  </si>
  <si>
    <t>Seed</t>
  </si>
  <si>
    <t>Total</t>
  </si>
  <si>
    <t>Enter SINGLE value for Seed  rate   OR</t>
  </si>
  <si>
    <t>Americot</t>
  </si>
  <si>
    <t>FiberMax</t>
  </si>
  <si>
    <t>FM 960 B2</t>
  </si>
  <si>
    <t>Americot 1504 B2RF</t>
  </si>
  <si>
    <t>Americot 1532 B2RF</t>
  </si>
  <si>
    <t>Croplan</t>
  </si>
  <si>
    <t>CG 3020 B2RF</t>
  </si>
  <si>
    <t>CG 3520 B2RF</t>
  </si>
  <si>
    <t>CG 4020 B2RF</t>
  </si>
  <si>
    <t>DP 143 B2RF</t>
  </si>
  <si>
    <t>DP 164 B2RF</t>
  </si>
  <si>
    <t>Dyna-Gro</t>
  </si>
  <si>
    <t>DG 2100 B2RF</t>
  </si>
  <si>
    <t>DG 2242 B2RF</t>
  </si>
  <si>
    <t>DG 2520 B2RF</t>
  </si>
  <si>
    <t>2009 WidestrikeTech</t>
  </si>
  <si>
    <t>ST 4554 B2RF</t>
  </si>
  <si>
    <t>To look at all varieties scroll down the page:</t>
  </si>
  <si>
    <t>All-Tex Orbit RF (65016)</t>
  </si>
  <si>
    <t>All-Tex LA122</t>
  </si>
  <si>
    <t>All-Tex Epic RF (65033)</t>
  </si>
  <si>
    <t>Stoneville</t>
  </si>
  <si>
    <t>(2)  Row spacing and seed per ft values can be edited.</t>
  </si>
  <si>
    <t>Variety 6------------</t>
  </si>
  <si>
    <t>PHY 485 WRF</t>
  </si>
  <si>
    <t>B2</t>
  </si>
  <si>
    <t>B2RF</t>
  </si>
  <si>
    <t>CONV</t>
  </si>
  <si>
    <t>RF</t>
  </si>
  <si>
    <t>WRF</t>
  </si>
  <si>
    <t>FM 1845 LLB2</t>
  </si>
  <si>
    <t>FM 1773 LLB2</t>
  </si>
  <si>
    <t>FM 835 LLB2</t>
  </si>
  <si>
    <t>FM 9101 GT</t>
  </si>
  <si>
    <t>FM 9103 GT</t>
  </si>
  <si>
    <t>LLB2</t>
  </si>
  <si>
    <t>LLB2</t>
  </si>
  <si>
    <t>ST 4288 B2F</t>
  </si>
  <si>
    <t>ST 5288 B2F</t>
  </si>
  <si>
    <t>B2RF</t>
  </si>
  <si>
    <t>PHY 565 WRF</t>
  </si>
  <si>
    <t>WRF</t>
  </si>
  <si>
    <t>RF</t>
  </si>
  <si>
    <t>WRF</t>
  </si>
  <si>
    <t>(3)  Seed rate (seed/acre) can be edited, if a value is entered, it will override row spacing and seed per foot.</t>
  </si>
  <si>
    <t>PHY 315 RF</t>
  </si>
  <si>
    <t>PHY 375 WRF</t>
  </si>
  <si>
    <t>NexGen</t>
  </si>
  <si>
    <t>check</t>
  </si>
  <si>
    <t>Diff -Seed</t>
  </si>
  <si>
    <t>Diff -Tech</t>
  </si>
  <si>
    <t>Diff -Total</t>
  </si>
  <si>
    <t>Population</t>
  </si>
  <si>
    <t>All-Tex Titan B2RF</t>
  </si>
  <si>
    <t>All-Tex Summit B2RF</t>
  </si>
  <si>
    <t>Courtesy of Plains Cotton Growers, Inc.</t>
  </si>
  <si>
    <t>Row spacing</t>
  </si>
  <si>
    <t>Total cost per acre</t>
  </si>
  <si>
    <t>FM 955 LLB2 </t>
  </si>
  <si>
    <t>FM 988 LLB2 </t>
  </si>
  <si>
    <t>FM 1735 LLB2</t>
  </si>
  <si>
    <t>LLB2</t>
  </si>
  <si>
    <t>Variety 3------------</t>
  </si>
  <si>
    <t>DP 0912 B2RF</t>
  </si>
  <si>
    <t>DP 0920 B2RF</t>
  </si>
  <si>
    <t>DP 0935 B2RF</t>
  </si>
  <si>
    <t>DP 0949 B2RF</t>
  </si>
  <si>
    <t>FM 981 LL </t>
  </si>
  <si>
    <t>FM 9160 B2RF</t>
  </si>
  <si>
    <t>CG 3035 RF</t>
  </si>
  <si>
    <t>CG 3220 B2RF</t>
  </si>
  <si>
    <t>RF</t>
  </si>
  <si>
    <t>B2RF</t>
  </si>
  <si>
    <t>W</t>
  </si>
  <si>
    <t>Variety 4------------</t>
  </si>
  <si>
    <t>Seed Cost Comparison Worksheet 2010-2011</t>
  </si>
  <si>
    <t>2011 WidestrikeTech</t>
  </si>
  <si>
    <t>2011 Seed Count</t>
  </si>
  <si>
    <t>% of 2009</t>
  </si>
  <si>
    <t>% of 2010</t>
  </si>
  <si>
    <t>All-Tex Marathon B2RF</t>
  </si>
  <si>
    <t>FM 958 LL </t>
  </si>
  <si>
    <t xml:space="preserve">Company </t>
  </si>
  <si>
    <t>Variety</t>
  </si>
  <si>
    <t>seed/acre</t>
  </si>
  <si>
    <t>inches</t>
  </si>
  <si>
    <t>per row ft</t>
  </si>
  <si>
    <t>cost/acre</t>
  </si>
  <si>
    <t>Fibermax</t>
  </si>
  <si>
    <t>Variety 7------------</t>
  </si>
  <si>
    <t>Variety 8------------</t>
  </si>
  <si>
    <t>Variety 9------------</t>
  </si>
  <si>
    <t>% Change</t>
  </si>
  <si>
    <t>bags/acre</t>
  </si>
  <si>
    <t>tech$/ac</t>
  </si>
  <si>
    <r>
      <t xml:space="preserve">Adjust  values for </t>
    </r>
    <r>
      <rPr>
        <b/>
        <u val="single"/>
        <sz val="10"/>
        <rFont val="Arial"/>
        <family val="2"/>
      </rPr>
      <t>Row spacing</t>
    </r>
    <r>
      <rPr>
        <b/>
        <sz val="10"/>
        <rFont val="Arial"/>
        <family val="2"/>
      </rPr>
      <t xml:space="preserve"> and </t>
    </r>
    <r>
      <rPr>
        <b/>
        <u val="single"/>
        <sz val="10"/>
        <rFont val="Arial"/>
        <family val="2"/>
      </rPr>
      <t>Seed/ Foot</t>
    </r>
  </si>
  <si>
    <r>
      <t>per lb</t>
    </r>
    <r>
      <rPr>
        <b/>
        <vertAlign val="superscript"/>
        <sz val="10"/>
        <color indexed="10"/>
        <rFont val="Arial"/>
        <family val="0"/>
      </rPr>
      <t>*</t>
    </r>
  </si>
  <si>
    <t>Results returned by this calculator should be used for estimation purposes only. See Notes at page bottom.</t>
  </si>
  <si>
    <t>Per Acre Tech Fee</t>
  </si>
  <si>
    <t>(1)  Average # of seed per pound provided/calculated for each variety based on company information or calculation using appropriate technology fee per 1,000 seed.</t>
  </si>
  <si>
    <t>4517 W. Loop 289                  Lubbock, Texas 79416</t>
  </si>
  <si>
    <t>FM 1880 B2RF</t>
  </si>
  <si>
    <t>PHY 525 RF</t>
  </si>
  <si>
    <t>PHY 367 WRF</t>
  </si>
  <si>
    <t>NG 4012 B2RF</t>
  </si>
  <si>
    <t>FM 840 B2RF</t>
  </si>
  <si>
    <t>FM 9180 B2RF</t>
  </si>
  <si>
    <t>FM 9063 B2RF</t>
  </si>
  <si>
    <t>FM 1740 B2RF</t>
  </si>
  <si>
    <t>FM 9058 F</t>
  </si>
  <si>
    <t>All-Tex Apex B2RF</t>
  </si>
  <si>
    <t>All-Tex Arid B2RF</t>
  </si>
  <si>
    <t>All-Tex Atlas</t>
  </si>
  <si>
    <t>All-Tex Excess</t>
  </si>
  <si>
    <t>All-Tex Top-Pick</t>
  </si>
  <si>
    <t>PhytoGen</t>
  </si>
  <si>
    <t>Select the Varieties you want to compare by clicking the cell and choosing from the menu :</t>
  </si>
  <si>
    <t>Variety 1------------</t>
  </si>
  <si>
    <t>Variety 2------------</t>
  </si>
  <si>
    <t>Variety 5------------</t>
  </si>
  <si>
    <t>Calculated Seed / Acre</t>
  </si>
  <si>
    <t>D &amp; PL</t>
  </si>
  <si>
    <t>All-Tex</t>
  </si>
  <si>
    <t>www.plainscotton.org</t>
  </si>
  <si>
    <t>NG 1572 RF</t>
  </si>
  <si>
    <t>PHY 440 W</t>
  </si>
  <si>
    <t>Plants</t>
  </si>
  <si>
    <t>per acre</t>
  </si>
  <si>
    <t>Tel.: 806-792-4904</t>
  </si>
  <si>
    <t>NG 3550 RF</t>
  </si>
  <si>
    <t>ST 4498 B2RF</t>
  </si>
  <si>
    <t>ST 5458 B2RF</t>
  </si>
  <si>
    <t>(4) Monsanto Technology Fees are included as announced for Trait Zone "E".</t>
  </si>
  <si>
    <t>(4) Monsanto Technology Fees are included as announced for Trait Zone "E".</t>
  </si>
  <si>
    <t>All-Tex 81220 B2RF</t>
  </si>
  <si>
    <t>All-Tex P-203 (PIMA)</t>
  </si>
  <si>
    <t>GTLL</t>
  </si>
  <si>
    <t>GT</t>
  </si>
  <si>
    <t>GT</t>
  </si>
  <si>
    <t>CG 3006 B2RF</t>
  </si>
  <si>
    <t>All-Tex 81158 RF</t>
  </si>
  <si>
    <t>All-Tex Epic RF (65033)</t>
  </si>
  <si>
    <t>CG 3035 RF</t>
  </si>
  <si>
    <t>NG 3538 RF</t>
  </si>
  <si>
    <t>All-Tex 81227 B2RF</t>
  </si>
  <si>
    <t>DG 2450 B2RF</t>
  </si>
  <si>
    <t>DP 0920 B2RF</t>
  </si>
  <si>
    <t>DP 1137 B2RF</t>
  </si>
  <si>
    <t>FM 1845 LLB2</t>
  </si>
  <si>
    <t>FM 981 LL </t>
  </si>
  <si>
    <t>FM 9250 GL</t>
  </si>
  <si>
    <t>CG 3220 B2RF</t>
  </si>
  <si>
    <t>DP 0935 B2RF</t>
  </si>
  <si>
    <t>PHY 569 WRF</t>
  </si>
  <si>
    <t>Net Difference from 2009</t>
  </si>
  <si>
    <t>2010 WidestrikeTech</t>
  </si>
  <si>
    <t>2010 Seed Count</t>
  </si>
  <si>
    <t>in 2009 bag</t>
  </si>
  <si>
    <t>in 2010 bag</t>
  </si>
  <si>
    <t>FM 9170 B2RF</t>
  </si>
  <si>
    <t>All-Tex 1203</t>
  </si>
  <si>
    <t>All-Tex A102</t>
  </si>
  <si>
    <t>All-Tex LA122</t>
  </si>
  <si>
    <t>All-Tex OL220 (okra leaf)</t>
  </si>
  <si>
    <t>All-Tex 65207 B2RF</t>
  </si>
  <si>
    <t>DP 121 RF</t>
  </si>
  <si>
    <t>ST 4427 B2RF</t>
  </si>
  <si>
    <t>NG 3273 B2RF</t>
  </si>
  <si>
    <t>total/acre</t>
  </si>
  <si>
    <t>seed/ac</t>
  </si>
  <si>
    <t>total/ac</t>
  </si>
  <si>
    <t>W</t>
  </si>
  <si>
    <t>LLB2</t>
  </si>
  <si>
    <t>LLB2</t>
  </si>
  <si>
    <t>http://www.plainscotton.org</t>
  </si>
  <si>
    <t>Revised 1/24/2011 -- To find the newest version of this calculator visit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</si>
</sst>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"/>
    <numFmt numFmtId="166" formatCode="0.00000"/>
    <numFmt numFmtId="167" formatCode="0.0000"/>
    <numFmt numFmtId="168" formatCode="0.000"/>
    <numFmt numFmtId="169" formatCode="&quot;$&quot;#,##0.00"/>
    <numFmt numFmtId="170" formatCode="&quot;$&quot;#,##0.000"/>
    <numFmt numFmtId="171" formatCode="&quot;$&quot;#,##0.0000"/>
    <numFmt numFmtId="172" formatCode="&quot;$&quot;#,##0.0"/>
    <numFmt numFmtId="173" formatCode="&quot;$&quot;#,##0"/>
    <numFmt numFmtId="174" formatCode="_(&quot;$&quot;* #,##0.0_);_(&quot;$&quot;* \(#,##0.0\);_(&quot;$&quot;* &quot;-&quot;??_);_(@_)"/>
    <numFmt numFmtId="175" formatCode="0.000000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0000_);_(&quot;$&quot;* \(#,##0.00000\);_(&quot;$&quot;* &quot;-&quot;??_);_(@_)"/>
    <numFmt numFmtId="179" formatCode="_(&quot;$&quot;* #,##0.000000_);_(&quot;$&quot;* \(#,##0.000000\);_(&quot;$&quot;* &quot;-&quot;??_);_(@_)"/>
    <numFmt numFmtId="180" formatCode="_(&quot;$&quot;* #,##0.0000000_);_(&quot;$&quot;* \(#,##0.0000000\);_(&quot;$&quot;* &quot;-&quot;??_);_(@_)"/>
    <numFmt numFmtId="181" formatCode="_(&quot;$&quot;* #,##0.00000000_);_(&quot;$&quot;* \(#,##0.00000000\);_(&quot;$&quot;* &quot;-&quot;??_);_(@_)"/>
    <numFmt numFmtId="182" formatCode="_(&quot;$&quot;* #,##0.000000000_);_(&quot;$&quot;* \(#,##0.000000000\);_(&quot;$&quot;* &quot;-&quot;??_);_(@_)"/>
    <numFmt numFmtId="183" formatCode="_(&quot;$&quot;* #,##0.0000000000_);_(&quot;$&quot;* \(#,##0.0000000000\);_(&quot;$&quot;* &quot;-&quot;??_);_(@_)"/>
    <numFmt numFmtId="184" formatCode="_(&quot;$&quot;* #,##0.00000000000_);_(&quot;$&quot;* \(#,##0.00000000000\);_(&quot;$&quot;* &quot;-&quot;??_);_(@_)"/>
    <numFmt numFmtId="185" formatCode="_(&quot;$&quot;* #,##0.000000000000_);_(&quot;$&quot;* \(#,##0.000000000000\);_(&quot;$&quot;* &quot;-&quot;??_);_(@_)"/>
    <numFmt numFmtId="186" formatCode="&quot;$&quot;#,##0.00000"/>
    <numFmt numFmtId="187" formatCode="&quot;$&quot;#,##0.000000"/>
    <numFmt numFmtId="188" formatCode="0.00_);[Red]\(0.00\)"/>
    <numFmt numFmtId="189" formatCode="#,##0.0"/>
    <numFmt numFmtId="190" formatCode="_(* #,##0.0_);_(* \(#,##0.0\);_(* &quot;-&quot;??_);_(@_)"/>
    <numFmt numFmtId="191" formatCode="_(* #,##0_);_(* \(#,##0\);_(* &quot;-&quot;??_);_(@_)"/>
    <numFmt numFmtId="192" formatCode="0.00%;[Red]\(\-0.00%\)"/>
    <numFmt numFmtId="193" formatCode="0.00%;[Red]\-0.00%"/>
    <numFmt numFmtId="194" formatCode="0.000%;[Red]\-0.000%"/>
    <numFmt numFmtId="195" formatCode="0.0%;[Red]\-0.0%"/>
    <numFmt numFmtId="196" formatCode="0%;[Red]\-0%"/>
  </numFmts>
  <fonts count="5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0"/>
      <name val="Arial"/>
      <family val="2"/>
    </font>
    <font>
      <b/>
      <sz val="1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color indexed="63"/>
      <name val="Arial"/>
      <family val="0"/>
    </font>
    <font>
      <b/>
      <sz val="10"/>
      <color indexed="10"/>
      <name val="Arial"/>
      <family val="0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u val="single"/>
      <sz val="10"/>
      <name val="Verdana"/>
      <family val="0"/>
    </font>
    <font>
      <b/>
      <vertAlign val="superscript"/>
      <sz val="10"/>
      <color indexed="10"/>
      <name val="Arial"/>
      <family val="0"/>
    </font>
    <font>
      <b/>
      <u val="single"/>
      <sz val="11"/>
      <name val="Verdana"/>
      <family val="0"/>
    </font>
    <font>
      <b/>
      <sz val="12"/>
      <color indexed="10"/>
      <name val="Arial"/>
      <family val="0"/>
    </font>
    <font>
      <u val="single"/>
      <sz val="12"/>
      <color indexed="12"/>
      <name val="Verdana"/>
      <family val="0"/>
    </font>
    <font>
      <b/>
      <u val="single"/>
      <sz val="14"/>
      <color indexed="12"/>
      <name val="Arial"/>
      <family val="0"/>
    </font>
    <font>
      <b/>
      <sz val="14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>
        <color indexed="8"/>
      </right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44" fontId="7" fillId="0" borderId="0" xfId="44" applyFont="1" applyAlignment="1" applyProtection="1">
      <alignment horizontal="center" vertical="center"/>
      <protection/>
    </xf>
    <xf numFmtId="169" fontId="7" fillId="0" borderId="0" xfId="0" applyNumberFormat="1" applyFont="1" applyAlignment="1" applyProtection="1">
      <alignment vertical="center"/>
      <protection/>
    </xf>
    <xf numFmtId="169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right" vertical="center"/>
      <protection/>
    </xf>
    <xf numFmtId="2" fontId="8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44" fontId="7" fillId="0" borderId="0" xfId="44" applyFont="1" applyBorder="1" applyAlignment="1" applyProtection="1">
      <alignment horizontal="center" vertical="center"/>
      <protection/>
    </xf>
    <xf numFmtId="169" fontId="7" fillId="0" borderId="0" xfId="0" applyNumberFormat="1" applyFont="1" applyBorder="1" applyAlignment="1" applyProtection="1">
      <alignment vertical="center"/>
      <protection/>
    </xf>
    <xf numFmtId="37" fontId="7" fillId="0" borderId="0" xfId="44" applyNumberFormat="1" applyFont="1" applyAlignment="1" applyProtection="1">
      <alignment horizontal="center" vertical="center"/>
      <protection/>
    </xf>
    <xf numFmtId="39" fontId="7" fillId="0" borderId="0" xfId="44" applyNumberFormat="1" applyFont="1" applyAlignment="1" applyProtection="1">
      <alignment horizontal="center" vertical="center"/>
      <protection/>
    </xf>
    <xf numFmtId="44" fontId="7" fillId="0" borderId="0" xfId="44" applyFont="1" applyAlignment="1" applyProtection="1">
      <alignment vertical="center"/>
      <protection/>
    </xf>
    <xf numFmtId="169" fontId="7" fillId="0" borderId="0" xfId="44" applyNumberFormat="1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right" vertical="center"/>
      <protection/>
    </xf>
    <xf numFmtId="2" fontId="7" fillId="0" borderId="0" xfId="0" applyNumberFormat="1" applyFont="1" applyAlignment="1" applyProtection="1">
      <alignment horizontal="right" vertical="center"/>
      <protection/>
    </xf>
    <xf numFmtId="169" fontId="7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44" fontId="7" fillId="0" borderId="10" xfId="44" applyFont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44" fontId="7" fillId="33" borderId="10" xfId="44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44" fontId="7" fillId="0" borderId="10" xfId="0" applyNumberFormat="1" applyFont="1" applyBorder="1" applyAlignment="1" applyProtection="1">
      <alignment horizontal="center" vertical="center"/>
      <protection/>
    </xf>
    <xf numFmtId="44" fontId="11" fillId="0" borderId="10" xfId="0" applyNumberFormat="1" applyFont="1" applyBorder="1" applyAlignment="1" applyProtection="1">
      <alignment vertical="center"/>
      <protection/>
    </xf>
    <xf numFmtId="44" fontId="7" fillId="34" borderId="10" xfId="44" applyNumberFormat="1" applyFont="1" applyFill="1" applyBorder="1" applyAlignment="1" applyProtection="1">
      <alignment horizontal="center" vertical="center"/>
      <protection/>
    </xf>
    <xf numFmtId="1" fontId="7" fillId="34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Border="1" applyAlignment="1" applyProtection="1">
      <alignment horizontal="center" vertical="center"/>
      <protection/>
    </xf>
    <xf numFmtId="2" fontId="7" fillId="0" borderId="0" xfId="0" applyNumberFormat="1" applyFont="1" applyAlignment="1" applyProtection="1">
      <alignment horizontal="center" vertical="center"/>
      <protection/>
    </xf>
    <xf numFmtId="44" fontId="7" fillId="0" borderId="0" xfId="0" applyNumberFormat="1" applyFont="1" applyAlignment="1" applyProtection="1">
      <alignment horizontal="center" vertical="center"/>
      <protection/>
    </xf>
    <xf numFmtId="2" fontId="7" fillId="0" borderId="0" xfId="0" applyNumberFormat="1" applyFont="1" applyAlignment="1" applyProtection="1">
      <alignment vertical="center"/>
      <protection/>
    </xf>
    <xf numFmtId="44" fontId="7" fillId="0" borderId="0" xfId="0" applyNumberFormat="1" applyFont="1" applyAlignment="1" applyProtection="1">
      <alignment vertical="center"/>
      <protection/>
    </xf>
    <xf numFmtId="44" fontId="11" fillId="35" borderId="10" xfId="0" applyNumberFormat="1" applyFont="1" applyFill="1" applyBorder="1" applyAlignment="1" applyProtection="1">
      <alignment horizontal="center" vertical="center"/>
      <protection/>
    </xf>
    <xf numFmtId="44" fontId="7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44" fontId="7" fillId="0" borderId="0" xfId="44" applyFont="1" applyBorder="1" applyAlignment="1" applyProtection="1">
      <alignment vertical="center"/>
      <protection/>
    </xf>
    <xf numFmtId="169" fontId="7" fillId="0" borderId="0" xfId="44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2" fontId="7" fillId="0" borderId="0" xfId="0" applyNumberFormat="1" applyFont="1" applyFill="1" applyBorder="1" applyAlignment="1" applyProtection="1">
      <alignment horizontal="right" vertical="center"/>
      <protection/>
    </xf>
    <xf numFmtId="169" fontId="7" fillId="0" borderId="0" xfId="0" applyNumberFormat="1" applyFont="1" applyFill="1" applyBorder="1" applyAlignment="1" applyProtection="1">
      <alignment horizontal="right" vertical="center"/>
      <protection/>
    </xf>
    <xf numFmtId="44" fontId="7" fillId="0" borderId="0" xfId="44" applyNumberFormat="1" applyFont="1" applyBorder="1" applyAlignment="1" applyProtection="1">
      <alignment horizontal="center" vertical="center"/>
      <protection/>
    </xf>
    <xf numFmtId="37" fontId="7" fillId="0" borderId="0" xfId="44" applyNumberFormat="1" applyFont="1" applyBorder="1" applyAlignment="1" applyProtection="1">
      <alignment horizontal="center" vertical="center"/>
      <protection/>
    </xf>
    <xf numFmtId="39" fontId="7" fillId="0" borderId="0" xfId="44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Alignment="1" applyProtection="1">
      <alignment horizontal="center" vertical="center"/>
      <protection/>
    </xf>
    <xf numFmtId="37" fontId="7" fillId="0" borderId="0" xfId="0" applyNumberFormat="1" applyFont="1" applyAlignment="1" applyProtection="1">
      <alignment horizontal="center" vertical="center"/>
      <protection/>
    </xf>
    <xf numFmtId="164" fontId="7" fillId="36" borderId="11" xfId="44" applyNumberFormat="1" applyFont="1" applyFill="1" applyBorder="1" applyAlignment="1" applyProtection="1">
      <alignment vertical="center"/>
      <protection/>
    </xf>
    <xf numFmtId="0" fontId="7" fillId="37" borderId="12" xfId="0" applyFont="1" applyFill="1" applyBorder="1" applyAlignment="1" applyProtection="1">
      <alignment vertical="center"/>
      <protection/>
    </xf>
    <xf numFmtId="0" fontId="7" fillId="37" borderId="13" xfId="0" applyFont="1" applyFill="1" applyBorder="1" applyAlignment="1" applyProtection="1">
      <alignment vertical="center"/>
      <protection/>
    </xf>
    <xf numFmtId="37" fontId="7" fillId="37" borderId="14" xfId="44" applyNumberFormat="1" applyFont="1" applyFill="1" applyBorder="1" applyAlignment="1" applyProtection="1">
      <alignment horizontal="center" vertical="center"/>
      <protection/>
    </xf>
    <xf numFmtId="39" fontId="7" fillId="37" borderId="15" xfId="44" applyNumberFormat="1" applyFont="1" applyFill="1" applyBorder="1" applyAlignment="1" applyProtection="1">
      <alignment horizontal="center" vertical="center"/>
      <protection/>
    </xf>
    <xf numFmtId="44" fontId="7" fillId="37" borderId="13" xfId="44" applyFont="1" applyFill="1" applyBorder="1" applyAlignment="1" applyProtection="1">
      <alignment vertical="center"/>
      <protection/>
    </xf>
    <xf numFmtId="44" fontId="7" fillId="37" borderId="12" xfId="44" applyFont="1" applyFill="1" applyBorder="1" applyAlignment="1" applyProtection="1">
      <alignment horizontal="center" vertical="center"/>
      <protection/>
    </xf>
    <xf numFmtId="44" fontId="7" fillId="37" borderId="16" xfId="44" applyFont="1" applyFill="1" applyBorder="1" applyAlignment="1" applyProtection="1">
      <alignment horizontal="center" vertical="center"/>
      <protection/>
    </xf>
    <xf numFmtId="0" fontId="7" fillId="37" borderId="12" xfId="0" applyFont="1" applyFill="1" applyBorder="1" applyAlignment="1" applyProtection="1">
      <alignment horizontal="right" vertical="center"/>
      <protection/>
    </xf>
    <xf numFmtId="0" fontId="7" fillId="37" borderId="15" xfId="0" applyFont="1" applyFill="1" applyBorder="1" applyAlignment="1" applyProtection="1">
      <alignment horizontal="right" vertical="center"/>
      <protection/>
    </xf>
    <xf numFmtId="169" fontId="7" fillId="37" borderId="12" xfId="0" applyNumberFormat="1" applyFont="1" applyFill="1" applyBorder="1" applyAlignment="1" applyProtection="1">
      <alignment horizontal="right" vertical="center"/>
      <protection/>
    </xf>
    <xf numFmtId="169" fontId="7" fillId="37" borderId="15" xfId="0" applyNumberFormat="1" applyFont="1" applyFill="1" applyBorder="1" applyAlignment="1" applyProtection="1">
      <alignment horizontal="right" vertical="center"/>
      <protection/>
    </xf>
    <xf numFmtId="169" fontId="7" fillId="37" borderId="12" xfId="44" applyNumberFormat="1" applyFont="1" applyFill="1" applyBorder="1" applyAlignment="1" applyProtection="1">
      <alignment horizontal="right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" fontId="9" fillId="0" borderId="0" xfId="0" applyNumberFormat="1" applyFont="1" applyAlignment="1" applyProtection="1">
      <alignment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vertical="center"/>
      <protection/>
    </xf>
    <xf numFmtId="3" fontId="8" fillId="0" borderId="0" xfId="0" applyNumberFormat="1" applyFont="1" applyAlignment="1" applyProtection="1">
      <alignment horizontal="center" vertical="center"/>
      <protection/>
    </xf>
    <xf numFmtId="3" fontId="7" fillId="0" borderId="0" xfId="0" applyNumberFormat="1" applyFont="1" applyAlignment="1" applyProtection="1">
      <alignment horizontal="center" vertical="center"/>
      <protection/>
    </xf>
    <xf numFmtId="3" fontId="9" fillId="0" borderId="0" xfId="0" applyNumberFormat="1" applyFont="1" applyAlignment="1" applyProtection="1">
      <alignment/>
      <protection/>
    </xf>
    <xf numFmtId="3" fontId="7" fillId="0" borderId="18" xfId="44" applyNumberFormat="1" applyFont="1" applyBorder="1" applyAlignment="1" applyProtection="1">
      <alignment horizontal="center" vertical="center"/>
      <protection/>
    </xf>
    <xf numFmtId="3" fontId="7" fillId="0" borderId="0" xfId="44" applyNumberFormat="1" applyFont="1" applyAlignment="1" applyProtection="1">
      <alignment horizontal="center" vertical="center"/>
      <protection/>
    </xf>
    <xf numFmtId="3" fontId="7" fillId="37" borderId="19" xfId="44" applyNumberFormat="1" applyFont="1" applyFill="1" applyBorder="1" applyAlignment="1" applyProtection="1">
      <alignment horizontal="center" vertical="center"/>
      <protection/>
    </xf>
    <xf numFmtId="3" fontId="11" fillId="0" borderId="0" xfId="0" applyNumberFormat="1" applyFont="1" applyBorder="1" applyAlignment="1" applyProtection="1">
      <alignment vertical="center" wrapText="1"/>
      <protection/>
    </xf>
    <xf numFmtId="3" fontId="7" fillId="0" borderId="0" xfId="44" applyNumberFormat="1" applyFont="1" applyBorder="1" applyAlignment="1" applyProtection="1">
      <alignment horizontal="center" vertical="center"/>
      <protection/>
    </xf>
    <xf numFmtId="3" fontId="0" fillId="0" borderId="0" xfId="0" applyNumberFormat="1" applyAlignment="1">
      <alignment/>
    </xf>
    <xf numFmtId="0" fontId="7" fillId="0" borderId="20" xfId="0" applyFont="1" applyBorder="1" applyAlignment="1" applyProtection="1">
      <alignment vertical="center"/>
      <protection/>
    </xf>
    <xf numFmtId="3" fontId="7" fillId="38" borderId="21" xfId="44" applyNumberFormat="1" applyFont="1" applyFill="1" applyBorder="1" applyAlignment="1" applyProtection="1">
      <alignment horizontal="center" vertical="center"/>
      <protection/>
    </xf>
    <xf numFmtId="37" fontId="7" fillId="38" borderId="22" xfId="44" applyNumberFormat="1" applyFont="1" applyFill="1" applyBorder="1" applyAlignment="1" applyProtection="1">
      <alignment horizontal="center" vertical="center"/>
      <protection/>
    </xf>
    <xf numFmtId="39" fontId="7" fillId="38" borderId="23" xfId="44" applyNumberFormat="1" applyFont="1" applyFill="1" applyBorder="1" applyAlignment="1" applyProtection="1">
      <alignment horizontal="center" vertical="center"/>
      <protection/>
    </xf>
    <xf numFmtId="44" fontId="7" fillId="36" borderId="24" xfId="44" applyFont="1" applyFill="1" applyBorder="1" applyAlignment="1" applyProtection="1">
      <alignment vertical="center"/>
      <protection/>
    </xf>
    <xf numFmtId="44" fontId="7" fillId="36" borderId="25" xfId="44" applyFont="1" applyFill="1" applyBorder="1" applyAlignment="1" applyProtection="1">
      <alignment horizontal="center" vertical="center"/>
      <protection/>
    </xf>
    <xf numFmtId="44" fontId="7" fillId="36" borderId="23" xfId="44" applyFont="1" applyFill="1" applyBorder="1" applyAlignment="1" applyProtection="1">
      <alignment horizontal="center" vertical="center"/>
      <protection/>
    </xf>
    <xf numFmtId="169" fontId="7" fillId="38" borderId="25" xfId="0" applyNumberFormat="1" applyFont="1" applyFill="1" applyBorder="1" applyAlignment="1" applyProtection="1">
      <alignment horizontal="right" vertical="center"/>
      <protection/>
    </xf>
    <xf numFmtId="169" fontId="7" fillId="38" borderId="26" xfId="0" applyNumberFormat="1" applyFont="1" applyFill="1" applyBorder="1" applyAlignment="1" applyProtection="1">
      <alignment horizontal="right" vertical="center"/>
      <protection/>
    </xf>
    <xf numFmtId="169" fontId="7" fillId="39" borderId="25" xfId="44" applyNumberFormat="1" applyFont="1" applyFill="1" applyBorder="1" applyAlignment="1" applyProtection="1">
      <alignment horizontal="right" vertical="center"/>
      <protection/>
    </xf>
    <xf numFmtId="169" fontId="7" fillId="39" borderId="26" xfId="44" applyNumberFormat="1" applyFont="1" applyFill="1" applyBorder="1" applyAlignment="1" applyProtection="1">
      <alignment horizontal="right" vertical="center"/>
      <protection/>
    </xf>
    <xf numFmtId="8" fontId="7" fillId="40" borderId="25" xfId="44" applyNumberFormat="1" applyFont="1" applyFill="1" applyBorder="1" applyAlignment="1" applyProtection="1">
      <alignment horizontal="right" vertical="center"/>
      <protection/>
    </xf>
    <xf numFmtId="3" fontId="7" fillId="38" borderId="27" xfId="44" applyNumberFormat="1" applyFont="1" applyFill="1" applyBorder="1" applyAlignment="1" applyProtection="1">
      <alignment horizontal="center" vertical="center"/>
      <protection/>
    </xf>
    <xf numFmtId="37" fontId="7" fillId="38" borderId="28" xfId="44" applyNumberFormat="1" applyFont="1" applyFill="1" applyBorder="1" applyAlignment="1" applyProtection="1">
      <alignment horizontal="center" vertical="center"/>
      <protection/>
    </xf>
    <xf numFmtId="39" fontId="7" fillId="38" borderId="29" xfId="44" applyNumberFormat="1" applyFont="1" applyFill="1" applyBorder="1" applyAlignment="1" applyProtection="1">
      <alignment horizontal="center" vertical="center"/>
      <protection/>
    </xf>
    <xf numFmtId="44" fontId="7" fillId="36" borderId="30" xfId="44" applyFont="1" applyFill="1" applyBorder="1" applyAlignment="1" applyProtection="1">
      <alignment vertical="center"/>
      <protection/>
    </xf>
    <xf numFmtId="44" fontId="7" fillId="36" borderId="31" xfId="44" applyFont="1" applyFill="1" applyBorder="1" applyAlignment="1" applyProtection="1">
      <alignment horizontal="center" vertical="center"/>
      <protection/>
    </xf>
    <xf numFmtId="44" fontId="7" fillId="36" borderId="29" xfId="44" applyFont="1" applyFill="1" applyBorder="1" applyAlignment="1" applyProtection="1">
      <alignment horizontal="center" vertical="center"/>
      <protection/>
    </xf>
    <xf numFmtId="169" fontId="7" fillId="38" borderId="31" xfId="0" applyNumberFormat="1" applyFont="1" applyFill="1" applyBorder="1" applyAlignment="1" applyProtection="1">
      <alignment horizontal="right" vertical="center"/>
      <protection/>
    </xf>
    <xf numFmtId="169" fontId="7" fillId="38" borderId="32" xfId="0" applyNumberFormat="1" applyFont="1" applyFill="1" applyBorder="1" applyAlignment="1" applyProtection="1">
      <alignment horizontal="right" vertical="center"/>
      <protection/>
    </xf>
    <xf numFmtId="169" fontId="7" fillId="39" borderId="31" xfId="44" applyNumberFormat="1" applyFont="1" applyFill="1" applyBorder="1" applyAlignment="1" applyProtection="1">
      <alignment horizontal="right" vertical="center"/>
      <protection/>
    </xf>
    <xf numFmtId="169" fontId="7" fillId="39" borderId="32" xfId="44" applyNumberFormat="1" applyFont="1" applyFill="1" applyBorder="1" applyAlignment="1" applyProtection="1">
      <alignment horizontal="right" vertical="center"/>
      <protection/>
    </xf>
    <xf numFmtId="8" fontId="7" fillId="40" borderId="31" xfId="44" applyNumberFormat="1" applyFont="1" applyFill="1" applyBorder="1" applyAlignment="1" applyProtection="1">
      <alignment horizontal="right"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7" fillId="0" borderId="27" xfId="0" applyFont="1" applyBorder="1" applyAlignment="1" applyProtection="1">
      <alignment vertical="center"/>
      <protection/>
    </xf>
    <xf numFmtId="0" fontId="7" fillId="33" borderId="33" xfId="0" applyFont="1" applyFill="1" applyBorder="1" applyAlignment="1" applyProtection="1">
      <alignment vertical="center"/>
      <protection locked="0"/>
    </xf>
    <xf numFmtId="0" fontId="7" fillId="0" borderId="34" xfId="0" applyFont="1" applyBorder="1" applyAlignment="1" applyProtection="1">
      <alignment vertical="center"/>
      <protection/>
    </xf>
    <xf numFmtId="0" fontId="7" fillId="33" borderId="35" xfId="0" applyFont="1" applyFill="1" applyBorder="1" applyAlignment="1" applyProtection="1">
      <alignment vertical="center"/>
      <protection locked="0"/>
    </xf>
    <xf numFmtId="3" fontId="7" fillId="38" borderId="34" xfId="44" applyNumberFormat="1" applyFont="1" applyFill="1" applyBorder="1" applyAlignment="1" applyProtection="1">
      <alignment horizontal="center" vertical="center"/>
      <protection/>
    </xf>
    <xf numFmtId="44" fontId="7" fillId="36" borderId="36" xfId="44" applyFont="1" applyFill="1" applyBorder="1" applyAlignment="1" applyProtection="1">
      <alignment horizontal="center" vertical="center"/>
      <protection/>
    </xf>
    <xf numFmtId="44" fontId="7" fillId="36" borderId="37" xfId="44" applyFont="1" applyFill="1" applyBorder="1" applyAlignment="1" applyProtection="1">
      <alignment horizontal="center" vertical="center"/>
      <protection/>
    </xf>
    <xf numFmtId="169" fontId="7" fillId="38" borderId="36" xfId="0" applyNumberFormat="1" applyFont="1" applyFill="1" applyBorder="1" applyAlignment="1" applyProtection="1">
      <alignment horizontal="right" vertical="center"/>
      <protection/>
    </xf>
    <xf numFmtId="169" fontId="7" fillId="38" borderId="38" xfId="0" applyNumberFormat="1" applyFont="1" applyFill="1" applyBorder="1" applyAlignment="1" applyProtection="1">
      <alignment horizontal="right" vertical="center"/>
      <protection/>
    </xf>
    <xf numFmtId="169" fontId="7" fillId="39" borderId="36" xfId="44" applyNumberFormat="1" applyFont="1" applyFill="1" applyBorder="1" applyAlignment="1" applyProtection="1">
      <alignment horizontal="right" vertical="center"/>
      <protection/>
    </xf>
    <xf numFmtId="169" fontId="7" fillId="39" borderId="38" xfId="44" applyNumberFormat="1" applyFont="1" applyFill="1" applyBorder="1" applyAlignment="1" applyProtection="1">
      <alignment horizontal="right" vertical="center"/>
      <protection/>
    </xf>
    <xf numFmtId="8" fontId="7" fillId="40" borderId="36" xfId="44" applyNumberFormat="1" applyFont="1" applyFill="1" applyBorder="1" applyAlignment="1" applyProtection="1">
      <alignment horizontal="right" vertical="center"/>
      <protection/>
    </xf>
    <xf numFmtId="0" fontId="13" fillId="41" borderId="39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44" fontId="7" fillId="0" borderId="0" xfId="44" applyFont="1" applyAlignment="1" applyProtection="1">
      <alignment horizontal="center" vertical="center" wrapText="1"/>
      <protection/>
    </xf>
    <xf numFmtId="0" fontId="7" fillId="0" borderId="40" xfId="0" applyFont="1" applyBorder="1" applyAlignment="1" applyProtection="1">
      <alignment vertical="center"/>
      <protection/>
    </xf>
    <xf numFmtId="3" fontId="7" fillId="0" borderId="41" xfId="0" applyNumberFormat="1" applyFont="1" applyBorder="1" applyAlignment="1" applyProtection="1">
      <alignment vertical="center"/>
      <protection/>
    </xf>
    <xf numFmtId="0" fontId="7" fillId="0" borderId="41" xfId="0" applyFont="1" applyBorder="1" applyAlignment="1" applyProtection="1">
      <alignment vertical="center"/>
      <protection/>
    </xf>
    <xf numFmtId="3" fontId="7" fillId="42" borderId="42" xfId="44" applyNumberFormat="1" applyFont="1" applyFill="1" applyBorder="1" applyAlignment="1" applyProtection="1">
      <alignment horizontal="center" vertical="center"/>
      <protection/>
    </xf>
    <xf numFmtId="37" fontId="7" fillId="42" borderId="43" xfId="44" applyNumberFormat="1" applyFont="1" applyFill="1" applyBorder="1" applyAlignment="1" applyProtection="1">
      <alignment horizontal="center" vertical="center"/>
      <protection/>
    </xf>
    <xf numFmtId="39" fontId="7" fillId="42" borderId="44" xfId="44" applyNumberFormat="1" applyFont="1" applyFill="1" applyBorder="1" applyAlignment="1" applyProtection="1">
      <alignment horizontal="center" vertical="center"/>
      <protection/>
    </xf>
    <xf numFmtId="3" fontId="7" fillId="42" borderId="45" xfId="44" applyNumberFormat="1" applyFont="1" applyFill="1" applyBorder="1" applyAlignment="1" applyProtection="1">
      <alignment horizontal="center" vertical="center"/>
      <protection/>
    </xf>
    <xf numFmtId="37" fontId="7" fillId="42" borderId="46" xfId="44" applyNumberFormat="1" applyFont="1" applyFill="1" applyBorder="1" applyAlignment="1" applyProtection="1">
      <alignment horizontal="center" vertical="center"/>
      <protection/>
    </xf>
    <xf numFmtId="39" fontId="7" fillId="42" borderId="47" xfId="44" applyNumberFormat="1" applyFont="1" applyFill="1" applyBorder="1" applyAlignment="1" applyProtection="1">
      <alignment horizontal="center" vertical="center"/>
      <protection/>
    </xf>
    <xf numFmtId="164" fontId="7" fillId="36" borderId="48" xfId="44" applyNumberFormat="1" applyFont="1" applyFill="1" applyBorder="1" applyAlignment="1" applyProtection="1">
      <alignment horizontal="center" vertical="center"/>
      <protection/>
    </xf>
    <xf numFmtId="164" fontId="7" fillId="36" borderId="49" xfId="44" applyNumberFormat="1" applyFont="1" applyFill="1" applyBorder="1" applyAlignment="1" applyProtection="1">
      <alignment horizontal="center" vertical="center"/>
      <protection/>
    </xf>
    <xf numFmtId="0" fontId="7" fillId="38" borderId="48" xfId="0" applyFont="1" applyFill="1" applyBorder="1" applyAlignment="1" applyProtection="1">
      <alignment horizontal="center" vertical="center"/>
      <protection/>
    </xf>
    <xf numFmtId="0" fontId="7" fillId="38" borderId="50" xfId="0" applyFont="1" applyFill="1" applyBorder="1" applyAlignment="1" applyProtection="1">
      <alignment horizontal="center" vertical="center"/>
      <protection/>
    </xf>
    <xf numFmtId="169" fontId="7" fillId="40" borderId="48" xfId="44" applyNumberFormat="1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vertical="center"/>
      <protection/>
    </xf>
    <xf numFmtId="0" fontId="7" fillId="0" borderId="52" xfId="0" applyFont="1" applyFill="1" applyBorder="1" applyAlignment="1" applyProtection="1">
      <alignment vertical="center"/>
      <protection/>
    </xf>
    <xf numFmtId="39" fontId="7" fillId="42" borderId="53" xfId="44" applyNumberFormat="1" applyFont="1" applyFill="1" applyBorder="1" applyAlignment="1" applyProtection="1">
      <alignment horizontal="center" vertical="center"/>
      <protection/>
    </xf>
    <xf numFmtId="44" fontId="7" fillId="36" borderId="41" xfId="44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48" xfId="0" applyFont="1" applyBorder="1" applyAlignment="1" applyProtection="1">
      <alignment vertical="center"/>
      <protection/>
    </xf>
    <xf numFmtId="0" fontId="7" fillId="0" borderId="49" xfId="0" applyFont="1" applyBorder="1" applyAlignment="1" applyProtection="1">
      <alignment vertical="center"/>
      <protection/>
    </xf>
    <xf numFmtId="39" fontId="7" fillId="42" borderId="54" xfId="44" applyNumberFormat="1" applyFont="1" applyFill="1" applyBorder="1" applyAlignment="1" applyProtection="1">
      <alignment horizontal="center" vertical="center"/>
      <protection/>
    </xf>
    <xf numFmtId="164" fontId="7" fillId="36" borderId="0" xfId="44" applyNumberFormat="1" applyFont="1" applyFill="1" applyBorder="1" applyAlignment="1" applyProtection="1">
      <alignment vertical="center"/>
      <protection/>
    </xf>
    <xf numFmtId="0" fontId="7" fillId="39" borderId="48" xfId="0" applyNumberFormat="1" applyFont="1" applyFill="1" applyBorder="1" applyAlignment="1" applyProtection="1">
      <alignment horizontal="center" vertical="center"/>
      <protection/>
    </xf>
    <xf numFmtId="0" fontId="7" fillId="39" borderId="50" xfId="0" applyNumberFormat="1" applyFont="1" applyFill="1" applyBorder="1" applyAlignment="1" applyProtection="1">
      <alignment horizontal="center" vertical="center"/>
      <protection/>
    </xf>
    <xf numFmtId="164" fontId="7" fillId="34" borderId="10" xfId="44" applyNumberFormat="1" applyFont="1" applyFill="1" applyBorder="1" applyAlignment="1" applyProtection="1">
      <alignment horizontal="center" vertical="center"/>
      <protection/>
    </xf>
    <xf numFmtId="0" fontId="7" fillId="37" borderId="16" xfId="0" applyFont="1" applyFill="1" applyBorder="1" applyAlignment="1" applyProtection="1">
      <alignment vertical="center"/>
      <protection/>
    </xf>
    <xf numFmtId="0" fontId="7" fillId="37" borderId="10" xfId="0" applyFont="1" applyFill="1" applyBorder="1" applyAlignment="1" applyProtection="1">
      <alignment horizontal="center" vertical="center"/>
      <protection/>
    </xf>
    <xf numFmtId="44" fontId="7" fillId="37" borderId="10" xfId="44" applyFont="1" applyFill="1" applyBorder="1" applyAlignment="1" applyProtection="1">
      <alignment horizontal="center" vertical="center"/>
      <protection/>
    </xf>
    <xf numFmtId="1" fontId="7" fillId="37" borderId="10" xfId="0" applyNumberFormat="1" applyFont="1" applyFill="1" applyBorder="1" applyAlignment="1" applyProtection="1">
      <alignment horizontal="center" vertical="center"/>
      <protection/>
    </xf>
    <xf numFmtId="44" fontId="7" fillId="37" borderId="0" xfId="44" applyFont="1" applyFill="1" applyBorder="1" applyAlignment="1" applyProtection="1">
      <alignment horizontal="center" vertical="center"/>
      <protection/>
    </xf>
    <xf numFmtId="39" fontId="7" fillId="38" borderId="26" xfId="44" applyNumberFormat="1" applyFont="1" applyFill="1" applyBorder="1" applyAlignment="1" applyProtection="1">
      <alignment horizontal="center" vertical="center"/>
      <protection/>
    </xf>
    <xf numFmtId="44" fontId="7" fillId="36" borderId="55" xfId="44" applyFont="1" applyFill="1" applyBorder="1" applyAlignment="1" applyProtection="1">
      <alignment vertical="center"/>
      <protection/>
    </xf>
    <xf numFmtId="8" fontId="7" fillId="38" borderId="25" xfId="0" applyNumberFormat="1" applyFont="1" applyFill="1" applyBorder="1" applyAlignment="1" applyProtection="1">
      <alignment horizontal="right" vertical="center"/>
      <protection/>
    </xf>
    <xf numFmtId="8" fontId="7" fillId="38" borderId="26" xfId="0" applyNumberFormat="1" applyFont="1" applyFill="1" applyBorder="1" applyAlignment="1" applyProtection="1">
      <alignment horizontal="right" vertical="center"/>
      <protection/>
    </xf>
    <xf numFmtId="44" fontId="7" fillId="39" borderId="25" xfId="44" applyNumberFormat="1" applyFont="1" applyFill="1" applyBorder="1" applyAlignment="1" applyProtection="1">
      <alignment horizontal="right" vertical="center"/>
      <protection/>
    </xf>
    <xf numFmtId="44" fontId="7" fillId="39" borderId="26" xfId="44" applyNumberFormat="1" applyFont="1" applyFill="1" applyBorder="1" applyAlignment="1" applyProtection="1">
      <alignment horizontal="right" vertical="center"/>
      <protection/>
    </xf>
    <xf numFmtId="44" fontId="11" fillId="34" borderId="10" xfId="0" applyNumberFormat="1" applyFont="1" applyFill="1" applyBorder="1" applyAlignment="1" applyProtection="1">
      <alignment vertical="center"/>
      <protection/>
    </xf>
    <xf numFmtId="0" fontId="7" fillId="0" borderId="0" xfId="44" applyNumberFormat="1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vertical="center"/>
      <protection/>
    </xf>
    <xf numFmtId="0" fontId="7" fillId="0" borderId="29" xfId="0" applyFont="1" applyBorder="1" applyAlignment="1" applyProtection="1">
      <alignment vertical="center"/>
      <protection/>
    </xf>
    <xf numFmtId="0" fontId="11" fillId="0" borderId="31" xfId="0" applyFont="1" applyBorder="1" applyAlignment="1" applyProtection="1">
      <alignment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44" fontId="11" fillId="0" borderId="10" xfId="0" applyNumberFormat="1" applyFont="1" applyBorder="1" applyAlignment="1" applyProtection="1">
      <alignment horizontal="center" vertical="center"/>
      <protection/>
    </xf>
    <xf numFmtId="44" fontId="7" fillId="34" borderId="10" xfId="0" applyNumberFormat="1" applyFont="1" applyFill="1" applyBorder="1" applyAlignment="1" applyProtection="1">
      <alignment horizontal="center" vertical="center"/>
      <protection/>
    </xf>
    <xf numFmtId="44" fontId="7" fillId="35" borderId="10" xfId="44" applyNumberFormat="1" applyFont="1" applyFill="1" applyBorder="1" applyAlignment="1" applyProtection="1">
      <alignment horizontal="center" vertical="center"/>
      <protection/>
    </xf>
    <xf numFmtId="0" fontId="11" fillId="0" borderId="31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top"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Border="1" applyAlignment="1" applyProtection="1">
      <alignment horizontal="center" vertical="top"/>
      <protection/>
    </xf>
    <xf numFmtId="44" fontId="7" fillId="0" borderId="0" xfId="44" applyFont="1" applyBorder="1" applyAlignment="1" applyProtection="1">
      <alignment horizontal="center" vertical="top"/>
      <protection/>
    </xf>
    <xf numFmtId="1" fontId="7" fillId="0" borderId="0" xfId="0" applyNumberFormat="1" applyFont="1" applyBorder="1" applyAlignment="1" applyProtection="1">
      <alignment horizontal="center" vertical="top"/>
      <protection/>
    </xf>
    <xf numFmtId="169" fontId="7" fillId="0" borderId="0" xfId="0" applyNumberFormat="1" applyFont="1" applyBorder="1" applyAlignment="1" applyProtection="1">
      <alignment vertical="top"/>
      <protection/>
    </xf>
    <xf numFmtId="195" fontId="7" fillId="0" borderId="0" xfId="0" applyNumberFormat="1" applyFont="1" applyAlignment="1" applyProtection="1">
      <alignment vertical="center"/>
      <protection/>
    </xf>
    <xf numFmtId="195" fontId="7" fillId="0" borderId="0" xfId="0" applyNumberFormat="1" applyFont="1" applyAlignment="1" applyProtection="1">
      <alignment horizontal="right" vertical="center"/>
      <protection/>
    </xf>
    <xf numFmtId="195" fontId="7" fillId="39" borderId="49" xfId="0" applyNumberFormat="1" applyFont="1" applyFill="1" applyBorder="1" applyAlignment="1" applyProtection="1">
      <alignment horizontal="center" vertical="center"/>
      <protection/>
    </xf>
    <xf numFmtId="195" fontId="7" fillId="37" borderId="16" xfId="0" applyNumberFormat="1" applyFont="1" applyFill="1" applyBorder="1" applyAlignment="1" applyProtection="1">
      <alignment horizontal="right" vertical="center"/>
      <protection/>
    </xf>
    <xf numFmtId="195" fontId="7" fillId="39" borderId="23" xfId="0" applyNumberFormat="1" applyFont="1" applyFill="1" applyBorder="1" applyAlignment="1" applyProtection="1">
      <alignment horizontal="right" vertical="center"/>
      <protection/>
    </xf>
    <xf numFmtId="195" fontId="7" fillId="39" borderId="29" xfId="0" applyNumberFormat="1" applyFont="1" applyFill="1" applyBorder="1" applyAlignment="1" applyProtection="1">
      <alignment horizontal="right" vertical="center"/>
      <protection/>
    </xf>
    <xf numFmtId="195" fontId="7" fillId="39" borderId="37" xfId="0" applyNumberFormat="1" applyFont="1" applyFill="1" applyBorder="1" applyAlignment="1" applyProtection="1">
      <alignment horizontal="right" vertical="center"/>
      <protection/>
    </xf>
    <xf numFmtId="195" fontId="7" fillId="0" borderId="0" xfId="0" applyNumberFormat="1" applyFont="1" applyBorder="1" applyAlignment="1" applyProtection="1">
      <alignment vertical="center"/>
      <protection/>
    </xf>
    <xf numFmtId="195" fontId="7" fillId="0" borderId="0" xfId="0" applyNumberFormat="1" applyFont="1" applyFill="1" applyBorder="1" applyAlignment="1" applyProtection="1">
      <alignment horizontal="right" vertical="center"/>
      <protection/>
    </xf>
    <xf numFmtId="195" fontId="0" fillId="0" borderId="0" xfId="0" applyNumberFormat="1" applyAlignment="1">
      <alignment/>
    </xf>
    <xf numFmtId="195" fontId="7" fillId="0" borderId="0" xfId="0" applyNumberFormat="1" applyFont="1" applyAlignment="1" applyProtection="1">
      <alignment/>
      <protection/>
    </xf>
    <xf numFmtId="195" fontId="7" fillId="40" borderId="49" xfId="0" applyNumberFormat="1" applyFont="1" applyFill="1" applyBorder="1" applyAlignment="1" applyProtection="1">
      <alignment horizontal="center" vertical="center"/>
      <protection/>
    </xf>
    <xf numFmtId="195" fontId="7" fillId="40" borderId="23" xfId="0" applyNumberFormat="1" applyFont="1" applyFill="1" applyBorder="1" applyAlignment="1" applyProtection="1">
      <alignment horizontal="right" vertical="center"/>
      <protection/>
    </xf>
    <xf numFmtId="195" fontId="7" fillId="40" borderId="29" xfId="0" applyNumberFormat="1" applyFont="1" applyFill="1" applyBorder="1" applyAlignment="1" applyProtection="1">
      <alignment horizontal="right" vertical="center"/>
      <protection/>
    </xf>
    <xf numFmtId="195" fontId="7" fillId="40" borderId="37" xfId="0" applyNumberFormat="1" applyFont="1" applyFill="1" applyBorder="1" applyAlignment="1" applyProtection="1">
      <alignment horizontal="right" vertical="center"/>
      <protection/>
    </xf>
    <xf numFmtId="195" fontId="9" fillId="0" borderId="0" xfId="0" applyNumberFormat="1" applyFont="1" applyAlignment="1" applyProtection="1">
      <alignment/>
      <protection/>
    </xf>
    <xf numFmtId="195" fontId="7" fillId="38" borderId="49" xfId="0" applyNumberFormat="1" applyFont="1" applyFill="1" applyBorder="1" applyAlignment="1" applyProtection="1">
      <alignment horizontal="center" vertical="center"/>
      <protection/>
    </xf>
    <xf numFmtId="195" fontId="7" fillId="38" borderId="23" xfId="0" applyNumberFormat="1" applyFont="1" applyFill="1" applyBorder="1" applyAlignment="1" applyProtection="1">
      <alignment horizontal="right" vertical="center"/>
      <protection/>
    </xf>
    <xf numFmtId="195" fontId="7" fillId="38" borderId="29" xfId="0" applyNumberFormat="1" applyFont="1" applyFill="1" applyBorder="1" applyAlignment="1" applyProtection="1">
      <alignment horizontal="right" vertical="center"/>
      <protection/>
    </xf>
    <xf numFmtId="195" fontId="7" fillId="38" borderId="37" xfId="0" applyNumberFormat="1" applyFont="1" applyFill="1" applyBorder="1" applyAlignment="1" applyProtection="1">
      <alignment horizontal="right" vertical="center"/>
      <protection/>
    </xf>
    <xf numFmtId="0" fontId="7" fillId="0" borderId="29" xfId="0" applyFont="1" applyBorder="1" applyAlignment="1">
      <alignment vertical="center"/>
    </xf>
    <xf numFmtId="0" fontId="7" fillId="0" borderId="29" xfId="0" applyFont="1" applyFill="1" applyBorder="1" applyAlignment="1" applyProtection="1">
      <alignment vertical="center"/>
      <protection/>
    </xf>
    <xf numFmtId="195" fontId="13" fillId="41" borderId="56" xfId="0" applyNumberFormat="1" applyFont="1" applyFill="1" applyBorder="1" applyAlignment="1" applyProtection="1">
      <alignment horizontal="left" vertical="center"/>
      <protection/>
    </xf>
    <xf numFmtId="195" fontId="13" fillId="41" borderId="57" xfId="0" applyNumberFormat="1" applyFont="1" applyFill="1" applyBorder="1" applyAlignment="1" applyProtection="1">
      <alignment horizontal="left" vertical="center"/>
      <protection/>
    </xf>
    <xf numFmtId="195" fontId="13" fillId="41" borderId="58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7" fillId="0" borderId="0" xfId="0" applyFont="1" applyAlignment="1">
      <alignment vertical="top"/>
    </xf>
    <xf numFmtId="0" fontId="7" fillId="33" borderId="59" xfId="0" applyFont="1" applyFill="1" applyBorder="1" applyAlignment="1" applyProtection="1">
      <alignment vertical="center"/>
      <protection locked="0"/>
    </xf>
    <xf numFmtId="0" fontId="7" fillId="33" borderId="42" xfId="0" applyFont="1" applyFill="1" applyBorder="1" applyAlignment="1" applyProtection="1">
      <alignment vertical="center"/>
      <protection locked="0"/>
    </xf>
    <xf numFmtId="0" fontId="7" fillId="33" borderId="27" xfId="0" applyFont="1" applyFill="1" applyBorder="1" applyAlignment="1" applyProtection="1">
      <alignment vertical="center"/>
      <protection locked="0"/>
    </xf>
    <xf numFmtId="195" fontId="12" fillId="0" borderId="0" xfId="0" applyNumberFormat="1" applyFont="1" applyBorder="1" applyAlignment="1" applyProtection="1">
      <alignment horizontal="left" vertical="center" wrapText="1"/>
      <protection/>
    </xf>
    <xf numFmtId="195" fontId="12" fillId="0" borderId="60" xfId="0" applyNumberFormat="1" applyFont="1" applyBorder="1" applyAlignment="1" applyProtection="1">
      <alignment horizontal="left" vertical="top" wrapText="1"/>
      <protection/>
    </xf>
    <xf numFmtId="1" fontId="7" fillId="34" borderId="10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 applyProtection="1">
      <alignment vertical="center"/>
      <protection/>
    </xf>
    <xf numFmtId="44" fontId="7" fillId="34" borderId="10" xfId="0" applyNumberFormat="1" applyFont="1" applyFill="1" applyBorder="1" applyAlignment="1">
      <alignment horizontal="center" vertical="center"/>
    </xf>
    <xf numFmtId="0" fontId="11" fillId="43" borderId="0" xfId="0" applyFont="1" applyFill="1" applyBorder="1" applyAlignment="1" applyProtection="1">
      <alignment vertical="center"/>
      <protection/>
    </xf>
    <xf numFmtId="0" fontId="7" fillId="43" borderId="0" xfId="0" applyFont="1" applyFill="1" applyBorder="1" applyAlignment="1" applyProtection="1">
      <alignment vertical="center"/>
      <protection/>
    </xf>
    <xf numFmtId="195" fontId="8" fillId="0" borderId="0" xfId="0" applyNumberFormat="1" applyFont="1" applyAlignment="1">
      <alignment horizontal="center" vertical="center"/>
    </xf>
    <xf numFmtId="44" fontId="11" fillId="35" borderId="10" xfId="0" applyNumberFormat="1" applyFont="1" applyFill="1" applyBorder="1" applyAlignment="1">
      <alignment horizontal="center" vertical="center"/>
    </xf>
    <xf numFmtId="0" fontId="0" fillId="44" borderId="0" xfId="0" applyFont="1" applyFill="1" applyBorder="1" applyAlignment="1">
      <alignment vertical="center"/>
    </xf>
    <xf numFmtId="195" fontId="0" fillId="44" borderId="61" xfId="0" applyNumberFormat="1" applyFont="1" applyFill="1" applyBorder="1" applyAlignment="1">
      <alignment vertical="center"/>
    </xf>
    <xf numFmtId="169" fontId="7" fillId="44" borderId="0" xfId="44" applyNumberFormat="1" applyFont="1" applyFill="1" applyBorder="1" applyAlignment="1" applyProtection="1">
      <alignment horizontal="right" vertical="center"/>
      <protection/>
    </xf>
    <xf numFmtId="195" fontId="7" fillId="44" borderId="61" xfId="0" applyNumberFormat="1" applyFont="1" applyFill="1" applyBorder="1" applyAlignment="1" applyProtection="1">
      <alignment horizontal="right" vertical="center"/>
      <protection/>
    </xf>
    <xf numFmtId="169" fontId="10" fillId="44" borderId="62" xfId="44" applyNumberFormat="1" applyFont="1" applyFill="1" applyBorder="1" applyAlignment="1" applyProtection="1">
      <alignment horizontal="right" vertical="center"/>
      <protection/>
    </xf>
    <xf numFmtId="169" fontId="10" fillId="44" borderId="0" xfId="44" applyNumberFormat="1" applyFont="1" applyFill="1" applyBorder="1" applyAlignment="1" applyProtection="1">
      <alignment horizontal="right" vertical="center"/>
      <protection/>
    </xf>
    <xf numFmtId="195" fontId="10" fillId="44" borderId="0" xfId="44" applyNumberFormat="1" applyFont="1" applyFill="1" applyBorder="1" applyAlignment="1" applyProtection="1">
      <alignment horizontal="right" vertical="center"/>
      <protection/>
    </xf>
    <xf numFmtId="0" fontId="7" fillId="44" borderId="0" xfId="0" applyFont="1" applyFill="1" applyBorder="1" applyAlignment="1" applyProtection="1">
      <alignment vertical="center"/>
      <protection/>
    </xf>
    <xf numFmtId="195" fontId="9" fillId="44" borderId="61" xfId="0" applyNumberFormat="1" applyFont="1" applyFill="1" applyBorder="1" applyAlignment="1" applyProtection="1">
      <alignment/>
      <protection/>
    </xf>
    <xf numFmtId="0" fontId="7" fillId="44" borderId="18" xfId="0" applyFont="1" applyFill="1" applyBorder="1" applyAlignment="1" applyProtection="1">
      <alignment vertical="center"/>
      <protection/>
    </xf>
    <xf numFmtId="195" fontId="9" fillId="44" borderId="63" xfId="0" applyNumberFormat="1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vertical="center"/>
      <protection/>
    </xf>
    <xf numFmtId="44" fontId="11" fillId="0" borderId="10" xfId="0" applyNumberFormat="1" applyFont="1" applyBorder="1" applyAlignment="1">
      <alignment horizontal="center" vertical="center"/>
    </xf>
    <xf numFmtId="193" fontId="7" fillId="0" borderId="0" xfId="0" applyNumberFormat="1" applyFont="1" applyAlignment="1">
      <alignment horizontal="center" vertical="center"/>
    </xf>
    <xf numFmtId="193" fontId="19" fillId="0" borderId="0" xfId="53" applyNumberFormat="1" applyFont="1" applyAlignment="1" applyProtection="1">
      <alignment horizontal="center" vertical="center"/>
      <protection/>
    </xf>
    <xf numFmtId="195" fontId="7" fillId="0" borderId="0" xfId="0" applyNumberFormat="1" applyFont="1" applyAlignment="1">
      <alignment horizontal="center" vertical="center"/>
    </xf>
    <xf numFmtId="193" fontId="20" fillId="0" borderId="0" xfId="53" applyNumberFormat="1" applyFont="1" applyAlignment="1" applyProtection="1">
      <alignment horizontal="center" vertical="center"/>
      <protection/>
    </xf>
    <xf numFmtId="195" fontId="21" fillId="0" borderId="0" xfId="0" applyNumberFormat="1" applyFont="1" applyAlignment="1">
      <alignment horizontal="center" vertical="center"/>
    </xf>
    <xf numFmtId="44" fontId="7" fillId="36" borderId="64" xfId="44" applyFont="1" applyFill="1" applyBorder="1" applyAlignment="1" applyProtection="1">
      <alignment horizontal="center" vertical="center"/>
      <protection/>
    </xf>
    <xf numFmtId="44" fontId="7" fillId="36" borderId="65" xfId="44" applyFont="1" applyFill="1" applyBorder="1" applyAlignment="1" applyProtection="1">
      <alignment horizontal="center" vertical="center"/>
      <protection/>
    </xf>
    <xf numFmtId="195" fontId="7" fillId="38" borderId="64" xfId="0" applyNumberFormat="1" applyFont="1" applyFill="1" applyBorder="1" applyAlignment="1" applyProtection="1">
      <alignment horizontal="center" vertical="center"/>
      <protection/>
    </xf>
    <xf numFmtId="195" fontId="7" fillId="38" borderId="66" xfId="0" applyNumberFormat="1" applyFont="1" applyFill="1" applyBorder="1" applyAlignment="1" applyProtection="1">
      <alignment horizontal="center" vertical="center"/>
      <protection/>
    </xf>
    <xf numFmtId="195" fontId="7" fillId="38" borderId="65" xfId="0" applyNumberFormat="1" applyFont="1" applyFill="1" applyBorder="1" applyAlignment="1" applyProtection="1">
      <alignment horizontal="center" vertical="center"/>
      <protection/>
    </xf>
    <xf numFmtId="195" fontId="7" fillId="39" borderId="64" xfId="0" applyNumberFormat="1" applyFont="1" applyFill="1" applyBorder="1" applyAlignment="1" applyProtection="1">
      <alignment horizontal="center" vertical="center"/>
      <protection/>
    </xf>
    <xf numFmtId="195" fontId="7" fillId="39" borderId="66" xfId="0" applyNumberFormat="1" applyFont="1" applyFill="1" applyBorder="1" applyAlignment="1" applyProtection="1">
      <alignment horizontal="center" vertical="center"/>
      <protection/>
    </xf>
    <xf numFmtId="195" fontId="7" fillId="39" borderId="65" xfId="0" applyNumberFormat="1" applyFont="1" applyFill="1" applyBorder="1" applyAlignment="1" applyProtection="1">
      <alignment horizontal="center" vertical="center"/>
      <protection/>
    </xf>
    <xf numFmtId="195" fontId="7" fillId="40" borderId="64" xfId="0" applyNumberFormat="1" applyFont="1" applyFill="1" applyBorder="1" applyAlignment="1">
      <alignment horizontal="center" vertical="center"/>
    </xf>
    <xf numFmtId="195" fontId="7" fillId="40" borderId="67" xfId="0" applyNumberFormat="1" applyFont="1" applyFill="1" applyBorder="1" applyAlignment="1">
      <alignment horizontal="center" vertical="center"/>
    </xf>
    <xf numFmtId="44" fontId="7" fillId="33" borderId="68" xfId="44" applyFont="1" applyFill="1" applyBorder="1" applyAlignment="1" applyProtection="1">
      <alignment horizontal="center" vertical="center"/>
      <protection/>
    </xf>
    <xf numFmtId="44" fontId="7" fillId="33" borderId="69" xfId="44" applyFont="1" applyFill="1" applyBorder="1" applyAlignment="1" applyProtection="1">
      <alignment horizontal="center" vertical="center"/>
      <protection/>
    </xf>
    <xf numFmtId="44" fontId="7" fillId="33" borderId="70" xfId="44" applyFont="1" applyFill="1" applyBorder="1" applyAlignment="1" applyProtection="1">
      <alignment horizontal="center" vertical="center"/>
      <protection/>
    </xf>
    <xf numFmtId="44" fontId="7" fillId="0" borderId="68" xfId="44" applyFont="1" applyBorder="1" applyAlignment="1" applyProtection="1">
      <alignment horizontal="center" vertical="center"/>
      <protection/>
    </xf>
    <xf numFmtId="44" fontId="7" fillId="0" borderId="69" xfId="44" applyFont="1" applyBorder="1" applyAlignment="1" applyProtection="1">
      <alignment horizontal="center" vertical="center"/>
      <protection/>
    </xf>
    <xf numFmtId="44" fontId="7" fillId="0" borderId="70" xfId="44" applyFont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 wrapText="1"/>
      <protection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3" fontId="7" fillId="42" borderId="62" xfId="44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95" fontId="15" fillId="44" borderId="71" xfId="53" applyNumberFormat="1" applyFont="1" applyFill="1" applyBorder="1" applyAlignment="1" applyProtection="1">
      <alignment horizontal="center" vertical="center"/>
      <protection/>
    </xf>
    <xf numFmtId="195" fontId="15" fillId="44" borderId="18" xfId="53" applyNumberFormat="1" applyFont="1" applyFill="1" applyBorder="1" applyAlignment="1" applyProtection="1">
      <alignment horizontal="center" vertical="center"/>
      <protection/>
    </xf>
    <xf numFmtId="195" fontId="10" fillId="44" borderId="62" xfId="0" applyNumberFormat="1" applyFont="1" applyFill="1" applyBorder="1" applyAlignment="1" applyProtection="1">
      <alignment horizontal="center" vertical="center"/>
      <protection/>
    </xf>
    <xf numFmtId="195" fontId="10" fillId="44" borderId="0" xfId="0" applyNumberFormat="1" applyFont="1" applyFill="1" applyBorder="1" applyAlignment="1" applyProtection="1">
      <alignment horizontal="center" vertical="center"/>
      <protection/>
    </xf>
    <xf numFmtId="195" fontId="17" fillId="44" borderId="62" xfId="53" applyNumberFormat="1" applyFont="1" applyFill="1" applyBorder="1" applyAlignment="1" applyProtection="1">
      <alignment horizontal="center" vertical="center"/>
      <protection/>
    </xf>
    <xf numFmtId="195" fontId="17" fillId="44" borderId="0" xfId="53" applyNumberFormat="1" applyFont="1" applyFill="1" applyBorder="1" applyAlignment="1" applyProtection="1">
      <alignment horizontal="center" vertical="center"/>
      <protection/>
    </xf>
    <xf numFmtId="195" fontId="8" fillId="0" borderId="0" xfId="0" applyNumberFormat="1" applyFont="1" applyAlignment="1">
      <alignment horizontal="center" vertical="center"/>
    </xf>
    <xf numFmtId="195" fontId="10" fillId="44" borderId="72" xfId="0" applyNumberFormat="1" applyFont="1" applyFill="1" applyBorder="1" applyAlignment="1" applyProtection="1">
      <alignment horizontal="left" vertical="center"/>
      <protection/>
    </xf>
    <xf numFmtId="195" fontId="10" fillId="44" borderId="41" xfId="0" applyNumberFormat="1" applyFont="1" applyFill="1" applyBorder="1" applyAlignment="1" applyProtection="1">
      <alignment horizontal="left" vertical="center"/>
      <protection/>
    </xf>
    <xf numFmtId="195" fontId="10" fillId="44" borderId="73" xfId="0" applyNumberFormat="1" applyFont="1" applyFill="1" applyBorder="1" applyAlignment="1" applyProtection="1">
      <alignment horizontal="left" vertical="center"/>
      <protection/>
    </xf>
    <xf numFmtId="195" fontId="10" fillId="38" borderId="74" xfId="0" applyNumberFormat="1" applyFont="1" applyFill="1" applyBorder="1" applyAlignment="1" applyProtection="1">
      <alignment horizontal="center" vertical="center"/>
      <protection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195" fontId="10" fillId="38" borderId="77" xfId="0" applyNumberFormat="1" applyFont="1" applyFill="1" applyBorder="1" applyAlignment="1" applyProtection="1">
      <alignment horizontal="center" vertical="center"/>
      <protection/>
    </xf>
    <xf numFmtId="0" fontId="0" fillId="0" borderId="6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195" fontId="10" fillId="44" borderId="62" xfId="0" applyNumberFormat="1" applyFont="1" applyFill="1" applyBorder="1" applyAlignment="1" applyProtection="1">
      <alignment horizontal="center" vertical="center" wrapText="1"/>
      <protection/>
    </xf>
    <xf numFmtId="195" fontId="10" fillId="44" borderId="0" xfId="0" applyNumberFormat="1" applyFont="1" applyFill="1" applyBorder="1" applyAlignment="1" applyProtection="1">
      <alignment horizontal="center" vertical="center" wrapText="1"/>
      <protection/>
    </xf>
    <xf numFmtId="3" fontId="7" fillId="33" borderId="79" xfId="44" applyNumberFormat="1" applyFont="1" applyFill="1" applyBorder="1" applyAlignment="1" applyProtection="1">
      <alignment horizontal="center" vertical="center"/>
      <protection locked="0"/>
    </xf>
    <xf numFmtId="3" fontId="7" fillId="33" borderId="80" xfId="44" applyNumberFormat="1" applyFont="1" applyFill="1" applyBorder="1" applyAlignment="1" applyProtection="1">
      <alignment horizontal="center" vertical="center"/>
      <protection locked="0"/>
    </xf>
    <xf numFmtId="37" fontId="7" fillId="33" borderId="81" xfId="44" applyNumberFormat="1" applyFont="1" applyFill="1" applyBorder="1" applyAlignment="1" applyProtection="1">
      <alignment horizontal="center" vertical="center"/>
      <protection locked="0"/>
    </xf>
    <xf numFmtId="37" fontId="7" fillId="33" borderId="82" xfId="44" applyNumberFormat="1" applyFont="1" applyFill="1" applyBorder="1" applyAlignment="1" applyProtection="1">
      <alignment horizontal="center" vertical="center"/>
      <protection locked="0"/>
    </xf>
    <xf numFmtId="39" fontId="7" fillId="33" borderId="53" xfId="44" applyNumberFormat="1" applyFont="1" applyFill="1" applyBorder="1" applyAlignment="1" applyProtection="1">
      <alignment horizontal="center" vertical="center"/>
      <protection locked="0"/>
    </xf>
    <xf numFmtId="39" fontId="7" fillId="33" borderId="83" xfId="44" applyNumberFormat="1" applyFont="1" applyFill="1" applyBorder="1" applyAlignment="1" applyProtection="1">
      <alignment horizontal="center" vertical="center"/>
      <protection locked="0"/>
    </xf>
    <xf numFmtId="3" fontId="7" fillId="38" borderId="84" xfId="44" applyNumberFormat="1" applyFont="1" applyFill="1" applyBorder="1" applyAlignment="1" applyProtection="1">
      <alignment horizontal="center" vertical="center"/>
      <protection/>
    </xf>
    <xf numFmtId="3" fontId="7" fillId="38" borderId="85" xfId="44" applyNumberFormat="1" applyFont="1" applyFill="1" applyBorder="1" applyAlignment="1" applyProtection="1">
      <alignment horizontal="center" vertical="center"/>
      <protection/>
    </xf>
    <xf numFmtId="0" fontId="7" fillId="34" borderId="61" xfId="0" applyFont="1" applyFill="1" applyBorder="1" applyAlignment="1" applyProtection="1">
      <alignment horizontal="center" vertical="center" wrapText="1"/>
      <protection/>
    </xf>
    <xf numFmtId="0" fontId="7" fillId="34" borderId="71" xfId="0" applyFont="1" applyFill="1" applyBorder="1" applyAlignment="1" applyProtection="1">
      <alignment horizontal="center" vertical="center" wrapText="1"/>
      <protection/>
    </xf>
    <xf numFmtId="0" fontId="7" fillId="34" borderId="63" xfId="0" applyFont="1" applyFill="1" applyBorder="1" applyAlignment="1" applyProtection="1">
      <alignment horizontal="center" vertical="center" wrapText="1"/>
      <protection/>
    </xf>
    <xf numFmtId="195" fontId="10" fillId="38" borderId="75" xfId="0" applyNumberFormat="1" applyFont="1" applyFill="1" applyBorder="1" applyAlignment="1" applyProtection="1">
      <alignment horizontal="center" vertical="center"/>
      <protection/>
    </xf>
    <xf numFmtId="195" fontId="10" fillId="38" borderId="76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323850</xdr:colOff>
      <xdr:row>9</xdr:row>
      <xdr:rowOff>85725</xdr:rowOff>
    </xdr:from>
    <xdr:to>
      <xdr:col>18</xdr:col>
      <xdr:colOff>361950</xdr:colOff>
      <xdr:row>12</xdr:row>
      <xdr:rowOff>295275</xdr:rowOff>
    </xdr:to>
    <xdr:pic>
      <xdr:nvPicPr>
        <xdr:cNvPr id="1" name="Picture 36" descr="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2038350"/>
          <a:ext cx="7810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323850</xdr:colOff>
      <xdr:row>9</xdr:row>
      <xdr:rowOff>85725</xdr:rowOff>
    </xdr:from>
    <xdr:to>
      <xdr:col>18</xdr:col>
      <xdr:colOff>361950</xdr:colOff>
      <xdr:row>12</xdr:row>
      <xdr:rowOff>295275</xdr:rowOff>
    </xdr:to>
    <xdr:pic>
      <xdr:nvPicPr>
        <xdr:cNvPr id="1" name="Picture 36" descr="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2038350"/>
          <a:ext cx="7810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323850</xdr:colOff>
      <xdr:row>9</xdr:row>
      <xdr:rowOff>85725</xdr:rowOff>
    </xdr:from>
    <xdr:to>
      <xdr:col>18</xdr:col>
      <xdr:colOff>361950</xdr:colOff>
      <xdr:row>12</xdr:row>
      <xdr:rowOff>295275</xdr:rowOff>
    </xdr:to>
    <xdr:pic>
      <xdr:nvPicPr>
        <xdr:cNvPr id="1" name="Picture 36" descr="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2038350"/>
          <a:ext cx="7810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323850</xdr:colOff>
      <xdr:row>9</xdr:row>
      <xdr:rowOff>85725</xdr:rowOff>
    </xdr:from>
    <xdr:to>
      <xdr:col>18</xdr:col>
      <xdr:colOff>361950</xdr:colOff>
      <xdr:row>12</xdr:row>
      <xdr:rowOff>295275</xdr:rowOff>
    </xdr:to>
    <xdr:pic>
      <xdr:nvPicPr>
        <xdr:cNvPr id="1" name="Picture 36" descr="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2038350"/>
          <a:ext cx="7810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323850</xdr:colOff>
      <xdr:row>9</xdr:row>
      <xdr:rowOff>85725</xdr:rowOff>
    </xdr:from>
    <xdr:to>
      <xdr:col>18</xdr:col>
      <xdr:colOff>361950</xdr:colOff>
      <xdr:row>12</xdr:row>
      <xdr:rowOff>295275</xdr:rowOff>
    </xdr:to>
    <xdr:pic>
      <xdr:nvPicPr>
        <xdr:cNvPr id="1" name="Picture 36" descr="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2038350"/>
          <a:ext cx="7810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323850</xdr:colOff>
      <xdr:row>9</xdr:row>
      <xdr:rowOff>85725</xdr:rowOff>
    </xdr:from>
    <xdr:to>
      <xdr:col>18</xdr:col>
      <xdr:colOff>361950</xdr:colOff>
      <xdr:row>12</xdr:row>
      <xdr:rowOff>295275</xdr:rowOff>
    </xdr:to>
    <xdr:pic>
      <xdr:nvPicPr>
        <xdr:cNvPr id="1" name="Picture 36" descr="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2038350"/>
          <a:ext cx="7810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323850</xdr:colOff>
      <xdr:row>9</xdr:row>
      <xdr:rowOff>85725</xdr:rowOff>
    </xdr:from>
    <xdr:to>
      <xdr:col>18</xdr:col>
      <xdr:colOff>361950</xdr:colOff>
      <xdr:row>12</xdr:row>
      <xdr:rowOff>295275</xdr:rowOff>
    </xdr:to>
    <xdr:pic>
      <xdr:nvPicPr>
        <xdr:cNvPr id="1" name="Picture 36" descr="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2238375"/>
          <a:ext cx="7810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inscotton.org/" TargetMode="External" /><Relationship Id="rId2" Type="http://schemas.openxmlformats.org/officeDocument/2006/relationships/hyperlink" Target="http://www.plainscotton.org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inscotton.org/" TargetMode="External" /><Relationship Id="rId2" Type="http://schemas.openxmlformats.org/officeDocument/2006/relationships/hyperlink" Target="http://www.plainscotton.org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inscotton.org/" TargetMode="External" /><Relationship Id="rId2" Type="http://schemas.openxmlformats.org/officeDocument/2006/relationships/hyperlink" Target="http://www.plainscotton.org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inscotton.org/" TargetMode="External" /><Relationship Id="rId2" Type="http://schemas.openxmlformats.org/officeDocument/2006/relationships/hyperlink" Target="http://www.plainscotton.org" TargetMode="Externa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inscotton.org/" TargetMode="External" /><Relationship Id="rId2" Type="http://schemas.openxmlformats.org/officeDocument/2006/relationships/hyperlink" Target="http://www.plainscotton.org" TargetMode="Externa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inscotton.org/" TargetMode="External" /><Relationship Id="rId2" Type="http://schemas.openxmlformats.org/officeDocument/2006/relationships/hyperlink" Target="http://www.plainscotton.org" TargetMode="Externa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inscotton.org/" TargetMode="External" /><Relationship Id="rId2" Type="http://schemas.openxmlformats.org/officeDocument/2006/relationships/hyperlink" Target="http://www.plainscotton.org" TargetMode="Externa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083"/>
  <sheetViews>
    <sheetView tabSelected="1" zoomScalePageLayoutView="0" workbookViewId="0" topLeftCell="A1">
      <selection activeCell="J13" sqref="J13"/>
    </sheetView>
  </sheetViews>
  <sheetFormatPr defaultColWidth="11.625" defaultRowHeight="12.75"/>
  <cols>
    <col min="1" max="1" width="1.75390625" style="1" customWidth="1"/>
    <col min="2" max="3" width="11.625" style="4" hidden="1" customWidth="1"/>
    <col min="4" max="4" width="12.75390625" style="1" customWidth="1"/>
    <col min="5" max="5" width="20.375" style="1" customWidth="1"/>
    <col min="6" max="6" width="12.625" style="73" customWidth="1"/>
    <col min="7" max="7" width="11.625" style="15" hidden="1" customWidth="1"/>
    <col min="8" max="8" width="11.625" style="16" hidden="1" customWidth="1"/>
    <col min="9" max="9" width="11.625" style="17" hidden="1" customWidth="1"/>
    <col min="10" max="10" width="11.00390625" style="6" customWidth="1"/>
    <col min="11" max="11" width="10.875" style="6" customWidth="1"/>
    <col min="12" max="12" width="10.375" style="19" customWidth="1"/>
    <col min="13" max="13" width="9.875" style="19" customWidth="1"/>
    <col min="14" max="14" width="9.875" style="172" customWidth="1"/>
    <col min="15" max="15" width="9.75390625" style="20" customWidth="1"/>
    <col min="16" max="16" width="9.75390625" style="21" customWidth="1"/>
    <col min="17" max="17" width="9.75390625" style="172" customWidth="1"/>
    <col min="18" max="18" width="9.75390625" style="18" customWidth="1"/>
    <col min="19" max="19" width="9.75390625" style="172" customWidth="1"/>
    <col min="20" max="20" width="4.375" style="3" customWidth="1"/>
    <col min="21" max="22" width="11.625" style="4" hidden="1" customWidth="1"/>
    <col min="23" max="23" width="2.25390625" style="3" hidden="1" customWidth="1"/>
    <col min="24" max="27" width="11.625" style="5" hidden="1" customWidth="1"/>
    <col min="28" max="28" width="15.375" style="5" hidden="1" customWidth="1"/>
    <col min="29" max="29" width="11.625" style="5" hidden="1" customWidth="1"/>
    <col min="30" max="30" width="15.375" style="5" hidden="1" customWidth="1"/>
    <col min="31" max="31" width="11.625" style="5" hidden="1" customWidth="1"/>
    <col min="32" max="32" width="15.375" style="5" hidden="1" customWidth="1"/>
    <col min="33" max="35" width="11.625" style="6" hidden="1" customWidth="1"/>
    <col min="36" max="41" width="10.00390625" style="5" hidden="1" customWidth="1"/>
    <col min="42" max="42" width="11.625" style="50" hidden="1" customWidth="1"/>
    <col min="43" max="43" width="11.625" style="5" hidden="1" customWidth="1"/>
    <col min="44" max="44" width="11.625" style="50" hidden="1" customWidth="1"/>
    <col min="45" max="45" width="11.625" style="5" hidden="1" customWidth="1"/>
    <col min="46" max="52" width="11.625" style="6" hidden="1" customWidth="1"/>
    <col min="53" max="57" width="11.625" style="5" hidden="1" customWidth="1"/>
    <col min="58" max="59" width="11.625" style="1" hidden="1" customWidth="1"/>
    <col min="60" max="60" width="11.625" style="5" hidden="1" customWidth="1"/>
    <col min="61" max="64" width="11.625" style="1" hidden="1" customWidth="1"/>
    <col min="65" max="65" width="11.625" style="7" hidden="1" customWidth="1"/>
    <col min="66" max="66" width="11.625" style="1" hidden="1" customWidth="1"/>
    <col min="67" max="16384" width="11.625" style="1" customWidth="1"/>
  </cols>
  <sheetData>
    <row r="1" spans="1:22" ht="10.5" customHeight="1">
      <c r="A1" s="209"/>
      <c r="B1" s="1"/>
      <c r="C1" s="1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1"/>
      <c r="U1" s="1"/>
      <c r="V1" s="1"/>
    </row>
    <row r="2" spans="2:22" ht="30.75" customHeight="1">
      <c r="B2" s="1"/>
      <c r="C2" s="1"/>
      <c r="D2" s="258" t="s">
        <v>144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1"/>
      <c r="U2" s="1"/>
      <c r="V2" s="1"/>
    </row>
    <row r="3" spans="2:22" ht="18" customHeight="1">
      <c r="B3" s="1"/>
      <c r="C3" s="1"/>
      <c r="D3" s="226"/>
      <c r="E3" s="226"/>
      <c r="F3" s="226"/>
      <c r="G3" s="226"/>
      <c r="H3" s="226"/>
      <c r="I3" s="226"/>
      <c r="J3" s="226"/>
      <c r="K3" s="226"/>
      <c r="L3" s="228" t="s">
        <v>244</v>
      </c>
      <c r="M3" s="226"/>
      <c r="N3" s="226"/>
      <c r="O3" s="226"/>
      <c r="P3" s="226"/>
      <c r="Q3" s="226"/>
      <c r="R3" s="226"/>
      <c r="S3" s="226"/>
      <c r="T3" s="1"/>
      <c r="U3" s="1"/>
      <c r="V3" s="1"/>
    </row>
    <row r="4" spans="2:22" ht="18" customHeight="1">
      <c r="B4" s="22"/>
      <c r="C4" s="22"/>
      <c r="D4" s="2"/>
      <c r="E4" s="2"/>
      <c r="F4" s="69"/>
      <c r="G4" s="2"/>
      <c r="H4" s="2"/>
      <c r="I4" s="8"/>
      <c r="J4" s="9"/>
      <c r="K4" s="10"/>
      <c r="L4" s="227" t="s">
        <v>243</v>
      </c>
      <c r="M4" s="1"/>
      <c r="N4" s="171"/>
      <c r="O4" s="1"/>
      <c r="P4" s="1"/>
      <c r="Q4" s="171"/>
      <c r="R4" s="9"/>
      <c r="S4" s="181"/>
      <c r="T4" s="22"/>
      <c r="U4" s="22"/>
      <c r="V4" s="22"/>
    </row>
    <row r="5" spans="2:22" ht="9" customHeight="1" thickBot="1">
      <c r="B5" s="22"/>
      <c r="C5" s="22"/>
      <c r="D5" s="2"/>
      <c r="E5" s="2"/>
      <c r="F5" s="69"/>
      <c r="G5" s="2"/>
      <c r="H5" s="2"/>
      <c r="I5" s="8"/>
      <c r="J5" s="9"/>
      <c r="K5" s="10"/>
      <c r="L5" s="224"/>
      <c r="M5" s="1"/>
      <c r="N5" s="171"/>
      <c r="O5" s="1"/>
      <c r="P5" s="1"/>
      <c r="Q5" s="171"/>
      <c r="R5" s="9"/>
      <c r="S5" s="181"/>
      <c r="T5" s="22"/>
      <c r="U5" s="22"/>
      <c r="V5" s="22"/>
    </row>
    <row r="6" spans="4:65" s="4" customFormat="1" ht="21" customHeight="1" thickTop="1">
      <c r="D6" s="262" t="s">
        <v>166</v>
      </c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4"/>
      <c r="W6" s="11"/>
      <c r="X6" s="12"/>
      <c r="Y6" s="12"/>
      <c r="Z6" s="12"/>
      <c r="AA6" s="12"/>
      <c r="AB6" s="12"/>
      <c r="AC6" s="12"/>
      <c r="AD6" s="12"/>
      <c r="AE6" s="12"/>
      <c r="AF6" s="12"/>
      <c r="AG6" s="13"/>
      <c r="AH6" s="13"/>
      <c r="AI6" s="13"/>
      <c r="AJ6" s="12"/>
      <c r="AK6" s="12"/>
      <c r="AL6" s="12"/>
      <c r="AM6" s="12"/>
      <c r="AN6" s="12"/>
      <c r="AO6" s="12"/>
      <c r="AP6" s="65"/>
      <c r="AQ6" s="12"/>
      <c r="AR6" s="65"/>
      <c r="AS6" s="12"/>
      <c r="AT6" s="13"/>
      <c r="AU6" s="13"/>
      <c r="AV6" s="13"/>
      <c r="AW6" s="13"/>
      <c r="AX6" s="13"/>
      <c r="AY6" s="13"/>
      <c r="AZ6" s="13"/>
      <c r="BA6" s="12"/>
      <c r="BB6" s="12"/>
      <c r="BC6" s="12"/>
      <c r="BD6" s="12"/>
      <c r="BE6" s="12"/>
      <c r="BH6" s="12"/>
      <c r="BM6" s="14"/>
    </row>
    <row r="7" spans="4:65" s="4" customFormat="1" ht="21" customHeight="1" thickBot="1">
      <c r="D7" s="265" t="s">
        <v>58</v>
      </c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7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3"/>
      <c r="AH7" s="13"/>
      <c r="AI7" s="13"/>
      <c r="AJ7" s="12"/>
      <c r="AK7" s="12"/>
      <c r="AL7" s="12"/>
      <c r="AM7" s="12"/>
      <c r="AN7" s="12"/>
      <c r="AO7" s="12"/>
      <c r="AP7" s="65"/>
      <c r="AQ7" s="12"/>
      <c r="AR7" s="65"/>
      <c r="AS7" s="12"/>
      <c r="AT7" s="13"/>
      <c r="AU7" s="13"/>
      <c r="AV7" s="13"/>
      <c r="AW7" s="13"/>
      <c r="AX7" s="13"/>
      <c r="AY7" s="13"/>
      <c r="AZ7" s="13"/>
      <c r="BA7" s="12"/>
      <c r="BB7" s="12"/>
      <c r="BC7" s="12"/>
      <c r="BD7" s="12"/>
      <c r="BE7" s="12"/>
      <c r="BH7" s="12"/>
      <c r="BM7" s="14"/>
    </row>
    <row r="8" spans="1:65" s="4" customFormat="1" ht="9" customHeight="1" thickBot="1">
      <c r="A8" s="1"/>
      <c r="B8" s="22"/>
      <c r="C8" s="22"/>
      <c r="D8" s="50"/>
      <c r="E8" s="51"/>
      <c r="F8" s="70"/>
      <c r="G8" s="36"/>
      <c r="H8" s="36"/>
      <c r="I8" s="21"/>
      <c r="J8" s="19"/>
      <c r="K8" s="20"/>
      <c r="L8" s="3"/>
      <c r="M8" s="1"/>
      <c r="N8" s="171"/>
      <c r="O8" s="1"/>
      <c r="P8" s="1"/>
      <c r="Q8" s="171"/>
      <c r="R8" s="19"/>
      <c r="S8" s="181"/>
      <c r="T8" s="22"/>
      <c r="U8" s="22"/>
      <c r="V8" s="22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3"/>
      <c r="AH8" s="13"/>
      <c r="AI8" s="13"/>
      <c r="AJ8" s="12"/>
      <c r="AK8" s="12"/>
      <c r="AL8" s="12"/>
      <c r="AM8" s="12"/>
      <c r="AN8" s="12"/>
      <c r="AO8" s="12"/>
      <c r="AP8" s="65"/>
      <c r="AQ8" s="12"/>
      <c r="AR8" s="65"/>
      <c r="AS8" s="12"/>
      <c r="AT8" s="13"/>
      <c r="AU8" s="13"/>
      <c r="AV8" s="13"/>
      <c r="AW8" s="13"/>
      <c r="AX8" s="13"/>
      <c r="AY8" s="13"/>
      <c r="AZ8" s="13"/>
      <c r="BA8" s="12"/>
      <c r="BB8" s="12"/>
      <c r="BC8" s="12"/>
      <c r="BD8" s="12"/>
      <c r="BE8" s="12"/>
      <c r="BH8" s="12"/>
      <c r="BM8" s="14"/>
    </row>
    <row r="9" spans="1:65" s="4" customFormat="1" ht="16.5" thickBot="1">
      <c r="A9" s="1"/>
      <c r="B9" s="22"/>
      <c r="C9" s="22"/>
      <c r="D9" s="22"/>
      <c r="E9" s="22"/>
      <c r="F9" s="71"/>
      <c r="G9" s="22"/>
      <c r="H9" s="196"/>
      <c r="I9" s="22"/>
      <c r="J9" s="22"/>
      <c r="K9" s="22"/>
      <c r="L9" s="3"/>
      <c r="M9" s="1"/>
      <c r="N9" s="171"/>
      <c r="O9" s="259" t="s">
        <v>124</v>
      </c>
      <c r="P9" s="260"/>
      <c r="Q9" s="260"/>
      <c r="R9" s="260"/>
      <c r="S9" s="261"/>
      <c r="T9" s="22"/>
      <c r="U9" s="22"/>
      <c r="V9" s="22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3"/>
      <c r="AH9" s="13"/>
      <c r="AI9" s="13"/>
      <c r="AJ9" s="12"/>
      <c r="AK9" s="12"/>
      <c r="AL9" s="12"/>
      <c r="AM9" s="12"/>
      <c r="AN9" s="12"/>
      <c r="AO9" s="12"/>
      <c r="AP9" s="65"/>
      <c r="AQ9" s="12"/>
      <c r="AR9" s="65"/>
      <c r="AS9" s="12"/>
      <c r="AT9" s="13"/>
      <c r="AU9" s="13"/>
      <c r="AV9" s="13"/>
      <c r="AW9" s="13"/>
      <c r="AX9" s="13"/>
      <c r="AY9" s="13"/>
      <c r="AZ9" s="13"/>
      <c r="BA9" s="12"/>
      <c r="BB9" s="12"/>
      <c r="BC9" s="12"/>
      <c r="BD9" s="12"/>
      <c r="BE9" s="12"/>
      <c r="BH9" s="12"/>
      <c r="BM9" s="14"/>
    </row>
    <row r="10" spans="4:19" ht="30.75" customHeight="1" thickBot="1">
      <c r="D10" s="114" t="s">
        <v>59</v>
      </c>
      <c r="E10" s="68"/>
      <c r="F10" s="72"/>
      <c r="J10" s="115" t="s">
        <v>6</v>
      </c>
      <c r="K10" s="115" t="s">
        <v>5</v>
      </c>
      <c r="L10" s="115" t="s">
        <v>26</v>
      </c>
      <c r="M10" s="116" t="s">
        <v>189</v>
      </c>
      <c r="O10" s="268" t="s">
        <v>169</v>
      </c>
      <c r="P10" s="269"/>
      <c r="Q10" s="269"/>
      <c r="R10" s="211"/>
      <c r="S10" s="212"/>
    </row>
    <row r="11" spans="4:19" ht="18.75" customHeight="1">
      <c r="D11" s="250" t="s">
        <v>68</v>
      </c>
      <c r="E11" s="251"/>
      <c r="F11" s="246"/>
      <c r="J11" s="270"/>
      <c r="K11" s="272">
        <v>40</v>
      </c>
      <c r="L11" s="274">
        <v>4</v>
      </c>
      <c r="M11" s="276">
        <f>(43560/($K11/12)*L11)</f>
        <v>52272</v>
      </c>
      <c r="O11" s="254" t="s">
        <v>197</v>
      </c>
      <c r="P11" s="255"/>
      <c r="Q11" s="255"/>
      <c r="R11" s="213"/>
      <c r="S11" s="214"/>
    </row>
    <row r="12" spans="4:71" ht="18" customHeight="1" thickBot="1">
      <c r="D12" s="250" t="s">
        <v>164</v>
      </c>
      <c r="E12" s="251"/>
      <c r="F12" s="246"/>
      <c r="J12" s="271"/>
      <c r="K12" s="273"/>
      <c r="L12" s="275"/>
      <c r="M12" s="277"/>
      <c r="O12" s="215"/>
      <c r="P12" s="216"/>
      <c r="Q12" s="217"/>
      <c r="R12" s="213"/>
      <c r="S12" s="214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66"/>
      <c r="AQ12" s="22"/>
      <c r="AR12" s="66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</row>
    <row r="13" spans="4:71" ht="28.5" customHeight="1" thickBot="1">
      <c r="D13" s="114" t="s">
        <v>60</v>
      </c>
      <c r="E13" s="117"/>
      <c r="F13" s="118"/>
      <c r="G13" s="1"/>
      <c r="H13" s="119"/>
      <c r="I13" s="119"/>
      <c r="J13" s="119"/>
      <c r="K13" s="1"/>
      <c r="L13" s="22"/>
      <c r="M13" s="22"/>
      <c r="N13" s="186"/>
      <c r="O13" s="256" t="s">
        <v>192</v>
      </c>
      <c r="P13" s="257"/>
      <c r="Q13" s="257"/>
      <c r="R13" s="218"/>
      <c r="S13" s="219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66"/>
      <c r="AQ13" s="22"/>
      <c r="AR13" s="66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</row>
    <row r="14" spans="4:71" ht="6" customHeight="1" thickBot="1">
      <c r="D14" s="245" t="s">
        <v>185</v>
      </c>
      <c r="E14" s="246"/>
      <c r="O14" s="252"/>
      <c r="P14" s="253"/>
      <c r="Q14" s="253"/>
      <c r="R14" s="220"/>
      <c r="S14" s="221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66"/>
      <c r="AQ14" s="22"/>
      <c r="AR14" s="66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</row>
    <row r="15" spans="4:71" ht="4.5" customHeight="1" thickBot="1">
      <c r="D15" s="247"/>
      <c r="E15" s="246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66"/>
      <c r="AQ15" s="22"/>
      <c r="AR15" s="66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</row>
    <row r="16" spans="4:71" ht="12.75" customHeight="1">
      <c r="D16" s="247"/>
      <c r="E16" s="246"/>
      <c r="F16" s="120" t="s">
        <v>121</v>
      </c>
      <c r="G16" s="121" t="s">
        <v>125</v>
      </c>
      <c r="H16" s="122" t="s">
        <v>66</v>
      </c>
      <c r="J16" s="229" t="s">
        <v>126</v>
      </c>
      <c r="K16" s="230"/>
      <c r="L16" s="231" t="s">
        <v>4</v>
      </c>
      <c r="M16" s="232"/>
      <c r="N16" s="233"/>
      <c r="O16" s="234" t="s">
        <v>167</v>
      </c>
      <c r="P16" s="235"/>
      <c r="Q16" s="236"/>
      <c r="R16" s="237" t="s">
        <v>0</v>
      </c>
      <c r="S16" s="238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66"/>
      <c r="AQ16" s="22"/>
      <c r="AR16" s="66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</row>
    <row r="17" spans="4:71" ht="18" customHeight="1" thickBot="1">
      <c r="D17" s="248"/>
      <c r="E17" s="249"/>
      <c r="F17" s="123" t="s">
        <v>153</v>
      </c>
      <c r="G17" s="124" t="s">
        <v>154</v>
      </c>
      <c r="H17" s="125" t="s">
        <v>155</v>
      </c>
      <c r="I17" s="52">
        <v>2003</v>
      </c>
      <c r="J17" s="126">
        <f>$Y$38</f>
        <v>2010</v>
      </c>
      <c r="K17" s="127">
        <f>$Z$38</f>
        <v>2011</v>
      </c>
      <c r="L17" s="128">
        <f>$Y$38</f>
        <v>2010</v>
      </c>
      <c r="M17" s="129">
        <f>$Z$38</f>
        <v>2011</v>
      </c>
      <c r="N17" s="187" t="s">
        <v>161</v>
      </c>
      <c r="O17" s="141">
        <f>$Y$38</f>
        <v>2010</v>
      </c>
      <c r="P17" s="142">
        <f>$Z$38</f>
        <v>2011</v>
      </c>
      <c r="Q17" s="173" t="s">
        <v>161</v>
      </c>
      <c r="R17" s="130" t="s">
        <v>156</v>
      </c>
      <c r="S17" s="182" t="s">
        <v>161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 s="22"/>
      <c r="BQ17" s="22"/>
      <c r="BR17" s="22"/>
      <c r="BS17" s="22"/>
    </row>
    <row r="18" spans="4:19" ht="4.5" customHeight="1" thickBot="1">
      <c r="D18" s="53"/>
      <c r="E18" s="54"/>
      <c r="F18" s="74"/>
      <c r="G18" s="55"/>
      <c r="H18" s="56"/>
      <c r="I18" s="57"/>
      <c r="J18" s="58"/>
      <c r="K18" s="59"/>
      <c r="L18" s="60"/>
      <c r="M18" s="61"/>
      <c r="N18" s="174"/>
      <c r="O18" s="62"/>
      <c r="P18" s="63"/>
      <c r="Q18" s="174"/>
      <c r="R18" s="64"/>
      <c r="S18" s="174"/>
    </row>
    <row r="19" spans="4:19" ht="21" customHeight="1">
      <c r="D19" s="78" t="s">
        <v>186</v>
      </c>
      <c r="E19" s="200" t="s">
        <v>180</v>
      </c>
      <c r="F19" s="79">
        <f aca="true" t="shared" si="0" ref="F19:F27">VLOOKUP($E19,$E$40:$Q$146,2)</f>
        <v>52272</v>
      </c>
      <c r="G19" s="80">
        <f aca="true" t="shared" si="1" ref="G19:G27">VLOOKUP($E19,$E$40:$Q$146,3)</f>
        <v>40</v>
      </c>
      <c r="H19" s="81">
        <f aca="true" t="shared" si="2" ref="H19:H27">VLOOKUP($E19,$E$40:$Q$146,4)</f>
        <v>4</v>
      </c>
      <c r="I19" s="82">
        <f aca="true" t="shared" si="3" ref="I19:I27">VLOOKUP($E19,$E$40:$Q$146,5)</f>
        <v>63.558</v>
      </c>
      <c r="J19" s="83">
        <f aca="true" t="shared" si="4" ref="J19:J27">VLOOKUP($E19,$E$40:$S$146,6)</f>
        <v>64.12824</v>
      </c>
      <c r="K19" s="84">
        <f aca="true" t="shared" si="5" ref="K19:K27">VLOOKUP($E19,$E$40:$S$146,7)</f>
        <v>64.12824</v>
      </c>
      <c r="L19" s="85">
        <f aca="true" t="shared" si="6" ref="L19:L27">VLOOKUP($E19,$E$40:$S$146,8)</f>
        <v>23.2848</v>
      </c>
      <c r="M19" s="86">
        <f aca="true" t="shared" si="7" ref="M19:M27">VLOOKUP($E19,$E$40:$S$146,9)</f>
        <v>23.2848</v>
      </c>
      <c r="N19" s="188">
        <f aca="true" t="shared" si="8" ref="N19:N27">VLOOKUP($E19,$E$40:$S$146,10)</f>
        <v>0</v>
      </c>
      <c r="O19" s="87">
        <f aca="true" t="shared" si="9" ref="O19:O27">VLOOKUP($E19,$E$40:$S$146,11)</f>
        <v>40.84344</v>
      </c>
      <c r="P19" s="88">
        <f aca="true" t="shared" si="10" ref="P19:P27">VLOOKUP($E19,$E$40:$S$146,12)</f>
        <v>40.84344</v>
      </c>
      <c r="Q19" s="175">
        <f aca="true" t="shared" si="11" ref="Q19:Q27">VLOOKUP($E19,$E$40:$S$146,13)</f>
        <v>0</v>
      </c>
      <c r="R19" s="89">
        <f aca="true" t="shared" si="12" ref="R19:R27">VLOOKUP($E19,$E$40:$S$146,14)</f>
        <v>0</v>
      </c>
      <c r="S19" s="183">
        <f aca="true" t="shared" si="13" ref="S19:S27">VLOOKUP($E19,$E$40:$S$146,15)</f>
        <v>0</v>
      </c>
    </row>
    <row r="20" spans="4:19" ht="21" customHeight="1">
      <c r="D20" s="78" t="s">
        <v>187</v>
      </c>
      <c r="E20" s="201" t="s">
        <v>73</v>
      </c>
      <c r="F20" s="90">
        <f t="shared" si="0"/>
        <v>52272</v>
      </c>
      <c r="G20" s="91">
        <f t="shared" si="1"/>
        <v>40</v>
      </c>
      <c r="H20" s="92">
        <f t="shared" si="2"/>
        <v>4</v>
      </c>
      <c r="I20" s="93">
        <f t="shared" si="3"/>
        <v>68.15814260869564</v>
      </c>
      <c r="J20" s="94">
        <f t="shared" si="4"/>
        <v>65.40818086956523</v>
      </c>
      <c r="K20" s="95">
        <f t="shared" si="5"/>
        <v>65.40818086956523</v>
      </c>
      <c r="L20" s="96">
        <f t="shared" si="6"/>
        <v>24.545113043478263</v>
      </c>
      <c r="M20" s="97">
        <f t="shared" si="7"/>
        <v>24.545113043478263</v>
      </c>
      <c r="N20" s="189">
        <f t="shared" si="8"/>
        <v>0</v>
      </c>
      <c r="O20" s="98">
        <f t="shared" si="9"/>
        <v>40.86306782608696</v>
      </c>
      <c r="P20" s="99">
        <f t="shared" si="10"/>
        <v>40.86306782608696</v>
      </c>
      <c r="Q20" s="176">
        <f t="shared" si="11"/>
        <v>0</v>
      </c>
      <c r="R20" s="100">
        <f t="shared" si="12"/>
        <v>0</v>
      </c>
      <c r="S20" s="184">
        <f t="shared" si="13"/>
        <v>0</v>
      </c>
    </row>
    <row r="21" spans="4:19" ht="21" customHeight="1">
      <c r="D21" s="78" t="s">
        <v>131</v>
      </c>
      <c r="E21" s="201" t="s">
        <v>220</v>
      </c>
      <c r="F21" s="90">
        <f t="shared" si="0"/>
        <v>52272</v>
      </c>
      <c r="G21" s="91">
        <f t="shared" si="1"/>
        <v>40</v>
      </c>
      <c r="H21" s="92">
        <f t="shared" si="2"/>
        <v>4</v>
      </c>
      <c r="I21" s="93">
        <f t="shared" si="3"/>
        <v>67.47633391304348</v>
      </c>
      <c r="J21" s="94">
        <f t="shared" si="4"/>
        <v>70.40811130434784</v>
      </c>
      <c r="K21" s="95">
        <f t="shared" si="5"/>
        <v>70.86265043478261</v>
      </c>
      <c r="L21" s="96">
        <f t="shared" si="6"/>
        <v>29.545043478260872</v>
      </c>
      <c r="M21" s="97">
        <f t="shared" si="7"/>
        <v>29.999582608695654</v>
      </c>
      <c r="N21" s="189">
        <f t="shared" si="8"/>
        <v>0.01538461538461533</v>
      </c>
      <c r="O21" s="98">
        <f t="shared" si="9"/>
        <v>40.86306782608696</v>
      </c>
      <c r="P21" s="99">
        <f t="shared" si="10"/>
        <v>40.86306782608696</v>
      </c>
      <c r="Q21" s="176">
        <f t="shared" si="11"/>
        <v>0</v>
      </c>
      <c r="R21" s="100">
        <f t="shared" si="12"/>
        <v>0.45453913043476746</v>
      </c>
      <c r="S21" s="184">
        <f t="shared" si="13"/>
        <v>0.0064557779212392925</v>
      </c>
    </row>
    <row r="22" spans="4:19" ht="21" customHeight="1">
      <c r="D22" s="101" t="s">
        <v>143</v>
      </c>
      <c r="E22" s="199" t="s">
        <v>83</v>
      </c>
      <c r="F22" s="90">
        <f t="shared" si="0"/>
        <v>52272</v>
      </c>
      <c r="G22" s="91">
        <f t="shared" si="1"/>
        <v>40</v>
      </c>
      <c r="H22" s="92">
        <f t="shared" si="2"/>
        <v>4</v>
      </c>
      <c r="I22" s="93">
        <f t="shared" si="3"/>
        <v>67.70360347826086</v>
      </c>
      <c r="J22" s="94">
        <f t="shared" si="4"/>
        <v>71.54445913043479</v>
      </c>
      <c r="K22" s="95">
        <f t="shared" si="5"/>
        <v>65.40818086956523</v>
      </c>
      <c r="L22" s="96">
        <f t="shared" si="6"/>
        <v>30.68139130434783</v>
      </c>
      <c r="M22" s="97">
        <f t="shared" si="7"/>
        <v>24.545113043478263</v>
      </c>
      <c r="N22" s="189">
        <f t="shared" si="8"/>
        <v>-0.20000000000000007</v>
      </c>
      <c r="O22" s="98">
        <f t="shared" si="9"/>
        <v>40.86306782608696</v>
      </c>
      <c r="P22" s="99">
        <f t="shared" si="10"/>
        <v>40.86306782608696</v>
      </c>
      <c r="Q22" s="176">
        <f t="shared" si="11"/>
        <v>0</v>
      </c>
      <c r="R22" s="100">
        <f t="shared" si="12"/>
        <v>-6.13627826086956</v>
      </c>
      <c r="S22" s="184">
        <f t="shared" si="13"/>
        <v>-0.08576874205844973</v>
      </c>
    </row>
    <row r="23" spans="4:19" ht="21" customHeight="1">
      <c r="D23" s="102" t="s">
        <v>188</v>
      </c>
      <c r="E23" s="103" t="s">
        <v>221</v>
      </c>
      <c r="F23" s="90">
        <f t="shared" si="0"/>
        <v>52272</v>
      </c>
      <c r="G23" s="91">
        <f t="shared" si="1"/>
        <v>40</v>
      </c>
      <c r="H23" s="92">
        <f t="shared" si="2"/>
        <v>4</v>
      </c>
      <c r="I23" s="93">
        <f t="shared" si="3"/>
        <v>68.9572224</v>
      </c>
      <c r="J23" s="94">
        <f t="shared" si="4"/>
        <v>73.2539808</v>
      </c>
      <c r="K23" s="95">
        <f t="shared" si="5"/>
        <v>69.90857279999999</v>
      </c>
      <c r="L23" s="96">
        <f t="shared" si="6"/>
        <v>32.3981856</v>
      </c>
      <c r="M23" s="97">
        <f t="shared" si="7"/>
        <v>29.052777599999995</v>
      </c>
      <c r="N23" s="189">
        <f t="shared" si="8"/>
        <v>-0.10325911584382064</v>
      </c>
      <c r="O23" s="98">
        <f t="shared" si="9"/>
        <v>40.855795199999996</v>
      </c>
      <c r="P23" s="99">
        <f t="shared" si="10"/>
        <v>40.855795199999996</v>
      </c>
      <c r="Q23" s="176">
        <f t="shared" si="11"/>
        <v>0</v>
      </c>
      <c r="R23" s="100">
        <f t="shared" si="12"/>
        <v>-3.345408000000006</v>
      </c>
      <c r="S23" s="184">
        <f t="shared" si="13"/>
        <v>-0.04566861709718861</v>
      </c>
    </row>
    <row r="24" spans="4:19" ht="21" customHeight="1">
      <c r="D24" s="102" t="s">
        <v>92</v>
      </c>
      <c r="E24" s="103" t="s">
        <v>173</v>
      </c>
      <c r="F24" s="90">
        <f t="shared" si="0"/>
        <v>52272</v>
      </c>
      <c r="G24" s="91">
        <f t="shared" si="1"/>
        <v>40</v>
      </c>
      <c r="H24" s="92">
        <f t="shared" si="2"/>
        <v>4</v>
      </c>
      <c r="I24" s="93">
        <f t="shared" si="3"/>
        <v>0</v>
      </c>
      <c r="J24" s="94">
        <f t="shared" si="4"/>
        <v>0</v>
      </c>
      <c r="K24" s="95">
        <f t="shared" si="5"/>
        <v>65.40818086956523</v>
      </c>
      <c r="L24" s="96">
        <f t="shared" si="6"/>
      </c>
      <c r="M24" s="97">
        <f t="shared" si="7"/>
        <v>24.545113043478263</v>
      </c>
      <c r="N24" s="189" t="str">
        <f t="shared" si="8"/>
        <v>New</v>
      </c>
      <c r="O24" s="98">
        <f t="shared" si="9"/>
      </c>
      <c r="P24" s="99">
        <f t="shared" si="10"/>
        <v>40.86306782608696</v>
      </c>
      <c r="Q24" s="176" t="str">
        <f t="shared" si="11"/>
        <v>New</v>
      </c>
      <c r="R24" s="100" t="str">
        <f t="shared" si="12"/>
        <v>New</v>
      </c>
      <c r="S24" s="184">
        <f t="shared" si="13"/>
      </c>
    </row>
    <row r="25" spans="4:19" ht="21" customHeight="1">
      <c r="D25" s="102" t="s">
        <v>158</v>
      </c>
      <c r="E25" s="103" t="s">
        <v>175</v>
      </c>
      <c r="F25" s="90">
        <f t="shared" si="0"/>
        <v>52272</v>
      </c>
      <c r="G25" s="91">
        <f t="shared" si="1"/>
        <v>40</v>
      </c>
      <c r="H25" s="92">
        <f t="shared" si="2"/>
        <v>4</v>
      </c>
      <c r="I25" s="93">
        <f t="shared" si="3"/>
        <v>76.4478</v>
      </c>
      <c r="J25" s="94">
        <f t="shared" si="4"/>
        <v>71.96904</v>
      </c>
      <c r="K25" s="95">
        <f t="shared" si="5"/>
        <v>73.15704</v>
      </c>
      <c r="L25" s="96">
        <f t="shared" si="6"/>
        <v>31.125600000000002</v>
      </c>
      <c r="M25" s="97">
        <f t="shared" si="7"/>
        <v>32.3136</v>
      </c>
      <c r="N25" s="189">
        <f t="shared" si="8"/>
        <v>0.03816793893129766</v>
      </c>
      <c r="O25" s="98">
        <f t="shared" si="9"/>
        <v>40.84344</v>
      </c>
      <c r="P25" s="99">
        <f t="shared" si="10"/>
        <v>40.84344</v>
      </c>
      <c r="Q25" s="176">
        <f t="shared" si="11"/>
        <v>0</v>
      </c>
      <c r="R25" s="100">
        <f t="shared" si="12"/>
        <v>1.1879999999999882</v>
      </c>
      <c r="S25" s="184">
        <f t="shared" si="13"/>
        <v>0.016507098052162265</v>
      </c>
    </row>
    <row r="26" spans="4:19" ht="21" customHeight="1">
      <c r="D26" s="102" t="s">
        <v>159</v>
      </c>
      <c r="E26" s="103" t="s">
        <v>222</v>
      </c>
      <c r="F26" s="90">
        <f t="shared" si="0"/>
        <v>52272</v>
      </c>
      <c r="G26" s="91">
        <f t="shared" si="1"/>
        <v>40</v>
      </c>
      <c r="H26" s="92">
        <f t="shared" si="2"/>
        <v>4</v>
      </c>
      <c r="I26" s="93">
        <f t="shared" si="3"/>
        <v>0</v>
      </c>
      <c r="J26" s="94">
        <f t="shared" si="4"/>
        <v>0</v>
      </c>
      <c r="K26" s="95">
        <f t="shared" si="5"/>
        <v>73.58988521739131</v>
      </c>
      <c r="L26" s="96">
        <f t="shared" si="6"/>
      </c>
      <c r="M26" s="97">
        <f t="shared" si="7"/>
        <v>32.27227826086957</v>
      </c>
      <c r="N26" s="189" t="str">
        <f t="shared" si="8"/>
        <v>New</v>
      </c>
      <c r="O26" s="98">
        <f t="shared" si="9"/>
      </c>
      <c r="P26" s="99">
        <f t="shared" si="10"/>
        <v>41.31760695652174</v>
      </c>
      <c r="Q26" s="176" t="str">
        <f t="shared" si="11"/>
        <v>New</v>
      </c>
      <c r="R26" s="100" t="str">
        <f t="shared" si="12"/>
        <v>New</v>
      </c>
      <c r="S26" s="184">
        <f t="shared" si="13"/>
      </c>
    </row>
    <row r="27" spans="4:19" ht="21" customHeight="1" thickBot="1">
      <c r="D27" s="104" t="s">
        <v>160</v>
      </c>
      <c r="E27" s="105" t="s">
        <v>85</v>
      </c>
      <c r="F27" s="106">
        <f t="shared" si="0"/>
        <v>52272</v>
      </c>
      <c r="G27" s="91">
        <f t="shared" si="1"/>
        <v>40</v>
      </c>
      <c r="H27" s="92">
        <f t="shared" si="2"/>
        <v>4</v>
      </c>
      <c r="I27" s="93">
        <f t="shared" si="3"/>
        <v>66.47634782608695</v>
      </c>
      <c r="J27" s="107">
        <f t="shared" si="4"/>
        <v>71.96904</v>
      </c>
      <c r="K27" s="108">
        <f t="shared" si="5"/>
        <v>68.16744</v>
      </c>
      <c r="L27" s="109">
        <f t="shared" si="6"/>
        <v>31.125600000000002</v>
      </c>
      <c r="M27" s="110">
        <f t="shared" si="7"/>
        <v>27.324</v>
      </c>
      <c r="N27" s="190">
        <f t="shared" si="8"/>
        <v>-0.12213740458015265</v>
      </c>
      <c r="O27" s="111">
        <f t="shared" si="9"/>
        <v>40.84344</v>
      </c>
      <c r="P27" s="112">
        <f t="shared" si="10"/>
        <v>40.84344</v>
      </c>
      <c r="Q27" s="177">
        <f t="shared" si="11"/>
        <v>0</v>
      </c>
      <c r="R27" s="113">
        <f t="shared" si="12"/>
        <v>-3.8016000000000076</v>
      </c>
      <c r="S27" s="185">
        <f t="shared" si="13"/>
        <v>-0.052822713766919875</v>
      </c>
    </row>
    <row r="28" spans="3:65" s="4" customFormat="1" ht="6.75" customHeight="1">
      <c r="C28" s="41"/>
      <c r="D28" s="41"/>
      <c r="E28" s="41"/>
      <c r="F28" s="75"/>
      <c r="G28" s="41"/>
      <c r="H28" s="41"/>
      <c r="I28" s="42"/>
      <c r="J28" s="13"/>
      <c r="K28" s="13"/>
      <c r="L28" s="44"/>
      <c r="M28" s="44"/>
      <c r="N28" s="179"/>
      <c r="O28" s="45"/>
      <c r="P28" s="46"/>
      <c r="Q28" s="178"/>
      <c r="R28" s="43"/>
      <c r="S28" s="179"/>
      <c r="T28" s="3"/>
      <c r="U28" s="41"/>
      <c r="W28" s="3"/>
      <c r="X28" s="12"/>
      <c r="Y28" s="12"/>
      <c r="Z28" s="12"/>
      <c r="AA28" s="12"/>
      <c r="AB28" s="12"/>
      <c r="AC28" s="12"/>
      <c r="AD28" s="12"/>
      <c r="AE28" s="12"/>
      <c r="AF28" s="12"/>
      <c r="AG28" s="13"/>
      <c r="AH28" s="13"/>
      <c r="AI28" s="13"/>
      <c r="AJ28" s="12"/>
      <c r="AK28" s="12"/>
      <c r="AL28" s="12"/>
      <c r="AM28" s="12"/>
      <c r="AN28" s="12"/>
      <c r="AO28" s="12"/>
      <c r="AP28" s="65"/>
      <c r="AQ28" s="12"/>
      <c r="AR28" s="65"/>
      <c r="AS28" s="12"/>
      <c r="AT28" s="13"/>
      <c r="AU28" s="13"/>
      <c r="AV28" s="13"/>
      <c r="AW28" s="13"/>
      <c r="AX28" s="13"/>
      <c r="AY28" s="3"/>
      <c r="AZ28" s="3"/>
      <c r="BA28" s="12"/>
      <c r="BB28" s="12"/>
      <c r="BC28" s="12"/>
      <c r="BD28" s="12"/>
      <c r="BE28" s="12"/>
      <c r="BH28" s="12"/>
      <c r="BM28" s="14"/>
    </row>
    <row r="29" spans="4:65" s="4" customFormat="1" ht="13.5" customHeight="1">
      <c r="D29" s="4" t="s">
        <v>9</v>
      </c>
      <c r="F29" s="76"/>
      <c r="G29" s="48"/>
      <c r="H29" s="49"/>
      <c r="I29" s="42"/>
      <c r="J29" s="13"/>
      <c r="K29" s="13"/>
      <c r="L29" s="44"/>
      <c r="M29" s="44"/>
      <c r="N29" s="179"/>
      <c r="O29" s="45"/>
      <c r="P29" s="46"/>
      <c r="Q29" s="178"/>
      <c r="R29" s="43"/>
      <c r="S29" s="179"/>
      <c r="T29" s="3"/>
      <c r="W29" s="3"/>
      <c r="X29" s="12"/>
      <c r="Y29" s="12"/>
      <c r="Z29" s="12"/>
      <c r="AA29" s="12"/>
      <c r="AB29" s="12"/>
      <c r="AC29" s="12"/>
      <c r="AD29" s="12"/>
      <c r="AE29" s="12"/>
      <c r="AF29" s="12"/>
      <c r="AG29" s="13"/>
      <c r="AH29" s="13"/>
      <c r="AI29" s="13"/>
      <c r="AJ29" s="12"/>
      <c r="AK29" s="12"/>
      <c r="AL29" s="12"/>
      <c r="AM29" s="12"/>
      <c r="AN29" s="12"/>
      <c r="AO29" s="12"/>
      <c r="AP29" s="65"/>
      <c r="AQ29" s="12"/>
      <c r="AR29" s="65"/>
      <c r="AS29" s="12"/>
      <c r="AT29" s="13"/>
      <c r="AU29" s="13"/>
      <c r="AV29" s="13"/>
      <c r="AW29" s="13"/>
      <c r="AX29" s="13"/>
      <c r="AY29" s="3"/>
      <c r="AZ29" s="3"/>
      <c r="BA29" s="12"/>
      <c r="BB29" s="12"/>
      <c r="BC29" s="12"/>
      <c r="BD29" s="12"/>
      <c r="BE29" s="12"/>
      <c r="BH29" s="12"/>
      <c r="BM29" s="14"/>
    </row>
    <row r="30" spans="1:65" s="165" customFormat="1" ht="18" customHeight="1">
      <c r="A30" s="198"/>
      <c r="B30" s="198"/>
      <c r="C30" s="198"/>
      <c r="D30" s="4" t="s">
        <v>168</v>
      </c>
      <c r="E30" s="4"/>
      <c r="F30" s="76"/>
      <c r="G30" s="48"/>
      <c r="H30" s="49"/>
      <c r="I30" s="42"/>
      <c r="J30" s="13"/>
      <c r="K30" s="13"/>
      <c r="L30" s="44"/>
      <c r="M30" s="44"/>
      <c r="N30" s="179"/>
      <c r="O30" s="45"/>
      <c r="P30" s="46"/>
      <c r="Q30" s="179"/>
      <c r="R30" s="43"/>
      <c r="S30" s="179"/>
      <c r="T30" s="198"/>
      <c r="U30" s="198"/>
      <c r="V30" s="198"/>
      <c r="W30" s="198"/>
      <c r="X30" s="167"/>
      <c r="Y30" s="167"/>
      <c r="Z30" s="167"/>
      <c r="AA30" s="167"/>
      <c r="AB30" s="167"/>
      <c r="AC30" s="167"/>
      <c r="AD30" s="167"/>
      <c r="AE30" s="167"/>
      <c r="AF30" s="167"/>
      <c r="AG30" s="168"/>
      <c r="AH30" s="168"/>
      <c r="AI30" s="168"/>
      <c r="AJ30" s="167"/>
      <c r="AK30" s="167"/>
      <c r="AL30" s="167"/>
      <c r="AM30" s="167"/>
      <c r="AN30" s="167"/>
      <c r="AO30" s="167"/>
      <c r="AP30" s="169"/>
      <c r="AQ30" s="167"/>
      <c r="AR30" s="169"/>
      <c r="AS30" s="167"/>
      <c r="AT30" s="168"/>
      <c r="AU30" s="168"/>
      <c r="AV30" s="168"/>
      <c r="AW30" s="168"/>
      <c r="AX30" s="168"/>
      <c r="AY30" s="166"/>
      <c r="AZ30" s="166"/>
      <c r="BA30" s="167"/>
      <c r="BB30" s="167"/>
      <c r="BC30" s="167"/>
      <c r="BD30" s="167"/>
      <c r="BE30" s="167"/>
      <c r="BH30" s="167"/>
      <c r="BM30" s="170"/>
    </row>
    <row r="31" spans="4:65" s="165" customFormat="1" ht="18" customHeight="1">
      <c r="D31" s="4" t="s">
        <v>91</v>
      </c>
      <c r="E31" s="4"/>
      <c r="F31" s="76"/>
      <c r="G31" s="48"/>
      <c r="H31" s="49"/>
      <c r="I31" s="42"/>
      <c r="J31" s="13"/>
      <c r="K31" s="13"/>
      <c r="L31" s="44"/>
      <c r="M31" s="44"/>
      <c r="N31" s="179"/>
      <c r="O31" s="45"/>
      <c r="P31" s="46"/>
      <c r="Q31" s="179"/>
      <c r="R31" s="43"/>
      <c r="S31" s="179"/>
      <c r="T31" s="166"/>
      <c r="W31" s="166"/>
      <c r="X31" s="167"/>
      <c r="Y31" s="167"/>
      <c r="Z31" s="167"/>
      <c r="AA31" s="167"/>
      <c r="AB31" s="167"/>
      <c r="AC31" s="167"/>
      <c r="AD31" s="167"/>
      <c r="AE31" s="167"/>
      <c r="AF31" s="167"/>
      <c r="AG31" s="168"/>
      <c r="AH31" s="168"/>
      <c r="AI31" s="168"/>
      <c r="AJ31" s="167"/>
      <c r="AK31" s="167"/>
      <c r="AL31" s="167"/>
      <c r="AM31" s="167"/>
      <c r="AN31" s="167"/>
      <c r="AO31" s="167"/>
      <c r="AP31" s="169"/>
      <c r="AQ31" s="167"/>
      <c r="AR31" s="169"/>
      <c r="AS31" s="167"/>
      <c r="AT31" s="168"/>
      <c r="AU31" s="168"/>
      <c r="AV31" s="168"/>
      <c r="AW31" s="168"/>
      <c r="AX31" s="168"/>
      <c r="AY31" s="166"/>
      <c r="AZ31" s="166"/>
      <c r="BA31" s="167"/>
      <c r="BB31" s="167"/>
      <c r="BC31" s="167"/>
      <c r="BD31" s="167"/>
      <c r="BE31" s="167"/>
      <c r="BH31" s="167"/>
      <c r="BM31" s="170"/>
    </row>
    <row r="32" spans="4:65" s="165" customFormat="1" ht="18" customHeight="1">
      <c r="D32" s="4" t="s">
        <v>113</v>
      </c>
      <c r="E32" s="4"/>
      <c r="F32" s="76"/>
      <c r="G32" s="48"/>
      <c r="H32" s="49"/>
      <c r="I32" s="42"/>
      <c r="J32" s="13"/>
      <c r="K32" s="13"/>
      <c r="L32" s="44"/>
      <c r="M32" s="44"/>
      <c r="N32" s="179"/>
      <c r="O32" s="45"/>
      <c r="P32" s="46"/>
      <c r="Q32" s="179"/>
      <c r="R32" s="43"/>
      <c r="S32" s="179"/>
      <c r="T32" s="166"/>
      <c r="W32" s="166"/>
      <c r="X32" s="167"/>
      <c r="Y32" s="167"/>
      <c r="Z32" s="167"/>
      <c r="AA32" s="167"/>
      <c r="AB32" s="167"/>
      <c r="AC32" s="167"/>
      <c r="AD32" s="167"/>
      <c r="AE32" s="167"/>
      <c r="AF32" s="167"/>
      <c r="AG32" s="168"/>
      <c r="AH32" s="168"/>
      <c r="AI32" s="168"/>
      <c r="AJ32" s="167"/>
      <c r="AK32" s="167"/>
      <c r="AL32" s="167"/>
      <c r="AM32" s="167"/>
      <c r="AN32" s="167"/>
      <c r="AO32" s="167"/>
      <c r="AP32" s="169"/>
      <c r="AQ32" s="167"/>
      <c r="AR32" s="169"/>
      <c r="AS32" s="167"/>
      <c r="AT32" s="168"/>
      <c r="AU32" s="168"/>
      <c r="AV32" s="168"/>
      <c r="AW32" s="168"/>
      <c r="AX32" s="168"/>
      <c r="AY32" s="166"/>
      <c r="AZ32" s="166"/>
      <c r="BA32" s="167"/>
      <c r="BB32" s="167"/>
      <c r="BC32" s="167"/>
      <c r="BD32" s="167"/>
      <c r="BE32" s="167"/>
      <c r="BH32" s="167"/>
      <c r="BM32" s="170"/>
    </row>
    <row r="33" spans="4:65" s="165" customFormat="1" ht="21" customHeight="1">
      <c r="D33" s="222" t="s">
        <v>201</v>
      </c>
      <c r="E33" s="4"/>
      <c r="F33" s="76"/>
      <c r="G33" s="48"/>
      <c r="H33" s="49"/>
      <c r="I33" s="42"/>
      <c r="J33" s="13"/>
      <c r="K33" s="13"/>
      <c r="L33" s="44"/>
      <c r="M33" s="44"/>
      <c r="N33" s="179"/>
      <c r="O33" s="45"/>
      <c r="P33" s="46"/>
      <c r="Q33" s="179"/>
      <c r="R33" s="43"/>
      <c r="S33" s="179"/>
      <c r="T33" s="166"/>
      <c r="W33" s="166"/>
      <c r="X33" s="167"/>
      <c r="Y33" s="167"/>
      <c r="Z33" s="167"/>
      <c r="AA33" s="167"/>
      <c r="AB33" s="167"/>
      <c r="AC33" s="167"/>
      <c r="AD33" s="167"/>
      <c r="AE33" s="167"/>
      <c r="AF33" s="167"/>
      <c r="AG33" s="168"/>
      <c r="AH33" s="168"/>
      <c r="AI33" s="168"/>
      <c r="AJ33" s="167"/>
      <c r="AK33" s="167"/>
      <c r="AL33" s="167"/>
      <c r="AM33" s="167"/>
      <c r="AN33" s="167"/>
      <c r="AO33" s="167"/>
      <c r="AP33" s="169"/>
      <c r="AQ33" s="167"/>
      <c r="AR33" s="169"/>
      <c r="AS33" s="167"/>
      <c r="AT33" s="168"/>
      <c r="AU33" s="168"/>
      <c r="AV33" s="168"/>
      <c r="AW33" s="168"/>
      <c r="AX33" s="168"/>
      <c r="AY33" s="166"/>
      <c r="AZ33" s="166"/>
      <c r="BA33" s="167"/>
      <c r="BB33" s="167"/>
      <c r="BC33" s="167"/>
      <c r="BD33" s="167"/>
      <c r="BE33" s="167"/>
      <c r="BH33" s="167"/>
      <c r="BM33" s="170"/>
    </row>
    <row r="34" spans="4:65" s="165" customFormat="1" ht="10.5" customHeight="1"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166"/>
      <c r="W34" s="166"/>
      <c r="X34" s="167"/>
      <c r="Y34" s="167"/>
      <c r="Z34" s="167"/>
      <c r="AA34" s="167"/>
      <c r="AB34" s="167"/>
      <c r="AC34" s="167"/>
      <c r="AD34" s="167"/>
      <c r="AE34" s="167"/>
      <c r="AF34" s="167"/>
      <c r="AG34" s="168"/>
      <c r="AH34" s="168"/>
      <c r="AI34" s="168"/>
      <c r="AJ34" s="167"/>
      <c r="AK34" s="167"/>
      <c r="AL34" s="167"/>
      <c r="AM34" s="167"/>
      <c r="AN34" s="167"/>
      <c r="AO34" s="167"/>
      <c r="AP34" s="169"/>
      <c r="AQ34" s="167"/>
      <c r="AR34" s="169"/>
      <c r="AS34" s="167"/>
      <c r="AT34" s="168"/>
      <c r="AU34" s="168"/>
      <c r="AV34" s="168"/>
      <c r="AW34" s="168"/>
      <c r="AX34" s="168"/>
      <c r="AY34" s="166"/>
      <c r="AZ34" s="166"/>
      <c r="BA34" s="167"/>
      <c r="BB34" s="167"/>
      <c r="BC34" s="167"/>
      <c r="BD34" s="167"/>
      <c r="BE34" s="167"/>
      <c r="BH34" s="167"/>
      <c r="BM34" s="170"/>
    </row>
    <row r="35" spans="4:65" s="4" customFormat="1" ht="6" customHeight="1" thickBot="1"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3"/>
      <c r="W35" s="3"/>
      <c r="X35" s="12"/>
      <c r="Y35" s="12"/>
      <c r="Z35" s="12"/>
      <c r="AA35" s="12"/>
      <c r="AB35" s="12"/>
      <c r="AC35" s="12"/>
      <c r="AD35" s="12"/>
      <c r="AE35" s="12"/>
      <c r="AF35" s="12"/>
      <c r="AG35" s="13"/>
      <c r="AH35" s="13"/>
      <c r="AI35" s="13"/>
      <c r="AJ35" s="12"/>
      <c r="AK35" s="12"/>
      <c r="AL35" s="12"/>
      <c r="AM35" s="12"/>
      <c r="AN35" s="12"/>
      <c r="AO35" s="12"/>
      <c r="AP35" s="65"/>
      <c r="AQ35" s="12"/>
      <c r="AR35" s="65"/>
      <c r="AS35" s="12"/>
      <c r="AT35" s="13"/>
      <c r="AU35" s="13"/>
      <c r="AV35" s="13"/>
      <c r="AW35" s="13"/>
      <c r="AX35" s="13"/>
      <c r="AY35" s="3"/>
      <c r="AZ35" s="3"/>
      <c r="BA35" s="12"/>
      <c r="BB35" s="12"/>
      <c r="BC35" s="12"/>
      <c r="BD35" s="12"/>
      <c r="BE35" s="12"/>
      <c r="BH35" s="12"/>
      <c r="BM35" s="14"/>
    </row>
    <row r="36" spans="4:19" ht="18" customHeight="1" thickBot="1" thickTop="1">
      <c r="D36" s="193" t="s">
        <v>86</v>
      </c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5"/>
    </row>
    <row r="37" spans="4:61" ht="18" customHeight="1">
      <c r="D37" s="131"/>
      <c r="E37" s="132"/>
      <c r="F37" s="120" t="s">
        <v>121</v>
      </c>
      <c r="G37" s="121" t="s">
        <v>125</v>
      </c>
      <c r="H37" s="133" t="s">
        <v>66</v>
      </c>
      <c r="I37" s="134" t="s">
        <v>126</v>
      </c>
      <c r="J37" s="229" t="s">
        <v>126</v>
      </c>
      <c r="K37" s="230"/>
      <c r="L37" s="231" t="s">
        <v>4</v>
      </c>
      <c r="M37" s="232"/>
      <c r="N37" s="233"/>
      <c r="O37" s="234" t="s">
        <v>167</v>
      </c>
      <c r="P37" s="235"/>
      <c r="Q37" s="236"/>
      <c r="R37" s="237" t="s">
        <v>1</v>
      </c>
      <c r="S37" s="238"/>
      <c r="T37" s="1"/>
      <c r="W37" s="1"/>
      <c r="X37" s="23" t="s">
        <v>62</v>
      </c>
      <c r="Y37" s="23" t="s">
        <v>62</v>
      </c>
      <c r="Z37" s="23" t="s">
        <v>62</v>
      </c>
      <c r="AA37" s="23" t="s">
        <v>63</v>
      </c>
      <c r="AB37" s="23"/>
      <c r="AC37" s="23" t="s">
        <v>63</v>
      </c>
      <c r="AD37" s="23"/>
      <c r="AE37" s="23" t="s">
        <v>63</v>
      </c>
      <c r="AF37" s="23"/>
      <c r="AG37" s="24" t="s">
        <v>64</v>
      </c>
      <c r="AH37" s="24" t="s">
        <v>64</v>
      </c>
      <c r="AI37" s="24" t="s">
        <v>64</v>
      </c>
      <c r="AJ37" s="135" t="s">
        <v>41</v>
      </c>
      <c r="AK37" s="26"/>
      <c r="AL37" s="135" t="s">
        <v>225</v>
      </c>
      <c r="AM37" s="26"/>
      <c r="AN37" s="135" t="s">
        <v>146</v>
      </c>
      <c r="AO37" s="26"/>
      <c r="AP37" s="67">
        <v>2009</v>
      </c>
      <c r="AQ37" s="23" t="s">
        <v>147</v>
      </c>
      <c r="AR37" s="67">
        <v>2010</v>
      </c>
      <c r="AS37" s="23" t="s">
        <v>148</v>
      </c>
      <c r="AT37" s="239" t="s">
        <v>31</v>
      </c>
      <c r="AU37" s="240"/>
      <c r="AV37" s="241"/>
      <c r="AW37" s="242" t="s">
        <v>32</v>
      </c>
      <c r="AX37" s="243"/>
      <c r="AY37" s="244"/>
      <c r="AZ37" s="13" t="s">
        <v>195</v>
      </c>
      <c r="BA37" s="136">
        <v>2011</v>
      </c>
      <c r="BB37" s="136">
        <v>2011</v>
      </c>
      <c r="BC37" s="136">
        <v>2011</v>
      </c>
      <c r="BD37" s="136">
        <v>2011</v>
      </c>
      <c r="BE37" s="136">
        <v>2011</v>
      </c>
      <c r="BF37" s="136">
        <v>2010</v>
      </c>
      <c r="BG37" s="136">
        <v>2010</v>
      </c>
      <c r="BH37" s="136">
        <v>2010</v>
      </c>
      <c r="BI37" s="136">
        <v>2010</v>
      </c>
    </row>
    <row r="38" spans="4:65" ht="19.5" customHeight="1" thickBot="1">
      <c r="D38" s="137" t="s">
        <v>151</v>
      </c>
      <c r="E38" s="138" t="s">
        <v>152</v>
      </c>
      <c r="F38" s="123" t="s">
        <v>153</v>
      </c>
      <c r="G38" s="124" t="s">
        <v>154</v>
      </c>
      <c r="H38" s="139" t="s">
        <v>155</v>
      </c>
      <c r="I38" s="140">
        <v>2003</v>
      </c>
      <c r="J38" s="126">
        <f>$Y$38</f>
        <v>2010</v>
      </c>
      <c r="K38" s="127">
        <f>$Z$38</f>
        <v>2011</v>
      </c>
      <c r="L38" s="128">
        <f>$Y$38</f>
        <v>2010</v>
      </c>
      <c r="M38" s="129">
        <f>$Z$38</f>
        <v>2011</v>
      </c>
      <c r="N38" s="187" t="s">
        <v>161</v>
      </c>
      <c r="O38" s="141">
        <f>$Y$38</f>
        <v>2010</v>
      </c>
      <c r="P38" s="142">
        <f>$Z$38</f>
        <v>2011</v>
      </c>
      <c r="Q38" s="173" t="s">
        <v>161</v>
      </c>
      <c r="R38" s="130" t="s">
        <v>156</v>
      </c>
      <c r="S38" s="182" t="s">
        <v>161</v>
      </c>
      <c r="X38" s="143">
        <v>2009</v>
      </c>
      <c r="Y38" s="143">
        <v>2010</v>
      </c>
      <c r="Z38" s="143">
        <v>2011</v>
      </c>
      <c r="AA38" s="26">
        <v>2009</v>
      </c>
      <c r="AB38" s="26" t="s">
        <v>84</v>
      </c>
      <c r="AC38" s="26">
        <v>2010</v>
      </c>
      <c r="AD38" s="26" t="s">
        <v>224</v>
      </c>
      <c r="AE38" s="26">
        <v>2011</v>
      </c>
      <c r="AF38" s="26" t="s">
        <v>145</v>
      </c>
      <c r="AG38" s="143">
        <v>2009</v>
      </c>
      <c r="AH38" s="143">
        <v>2010</v>
      </c>
      <c r="AI38" s="143">
        <v>2011</v>
      </c>
      <c r="AJ38" s="26" t="s">
        <v>165</v>
      </c>
      <c r="AK38" s="26" t="s">
        <v>65</v>
      </c>
      <c r="AL38" s="26" t="s">
        <v>165</v>
      </c>
      <c r="AM38" s="26" t="s">
        <v>65</v>
      </c>
      <c r="AN38" s="26" t="s">
        <v>165</v>
      </c>
      <c r="AO38" s="26" t="s">
        <v>65</v>
      </c>
      <c r="AP38" s="67" t="s">
        <v>65</v>
      </c>
      <c r="AQ38" s="23" t="s">
        <v>226</v>
      </c>
      <c r="AR38" s="67" t="s">
        <v>65</v>
      </c>
      <c r="AS38" s="23" t="s">
        <v>227</v>
      </c>
      <c r="AT38" s="28" t="s">
        <v>66</v>
      </c>
      <c r="AU38" s="28" t="s">
        <v>63</v>
      </c>
      <c r="AV38" s="28" t="s">
        <v>64</v>
      </c>
      <c r="AW38" s="24" t="s">
        <v>66</v>
      </c>
      <c r="AX38" s="24" t="s">
        <v>63</v>
      </c>
      <c r="AY38" s="24" t="s">
        <v>67</v>
      </c>
      <c r="AZ38" s="13" t="s">
        <v>196</v>
      </c>
      <c r="BA38" s="5" t="s">
        <v>162</v>
      </c>
      <c r="BB38" s="5" t="s">
        <v>153</v>
      </c>
      <c r="BC38" s="5" t="s">
        <v>163</v>
      </c>
      <c r="BD38" s="5" t="s">
        <v>237</v>
      </c>
      <c r="BE38" s="5" t="s">
        <v>117</v>
      </c>
      <c r="BF38" s="5" t="s">
        <v>162</v>
      </c>
      <c r="BG38" s="5" t="s">
        <v>238</v>
      </c>
      <c r="BH38" s="5" t="s">
        <v>163</v>
      </c>
      <c r="BI38" s="1" t="s">
        <v>239</v>
      </c>
      <c r="BK38" s="1" t="s">
        <v>118</v>
      </c>
      <c r="BL38" s="1" t="s">
        <v>119</v>
      </c>
      <c r="BM38" s="7" t="s">
        <v>120</v>
      </c>
    </row>
    <row r="39" spans="4:52" ht="6" customHeight="1" thickBot="1">
      <c r="D39" s="53"/>
      <c r="E39" s="144"/>
      <c r="F39" s="74"/>
      <c r="G39" s="55"/>
      <c r="H39" s="56"/>
      <c r="I39" s="57"/>
      <c r="J39" s="58"/>
      <c r="K39" s="59"/>
      <c r="L39" s="60"/>
      <c r="M39" s="61"/>
      <c r="N39" s="174"/>
      <c r="O39" s="62"/>
      <c r="P39" s="63"/>
      <c r="Q39" s="174"/>
      <c r="R39" s="64"/>
      <c r="S39" s="174"/>
      <c r="X39" s="145"/>
      <c r="Y39" s="145"/>
      <c r="Z39" s="145"/>
      <c r="AA39" s="145"/>
      <c r="AB39" s="145"/>
      <c r="AC39" s="145"/>
      <c r="AD39" s="145"/>
      <c r="AE39" s="145"/>
      <c r="AF39" s="145"/>
      <c r="AG39" s="146"/>
      <c r="AH39" s="146"/>
      <c r="AI39" s="146"/>
      <c r="AJ39" s="145"/>
      <c r="AK39" s="145"/>
      <c r="AL39" s="145"/>
      <c r="AM39" s="145"/>
      <c r="AN39" s="145"/>
      <c r="AO39" s="145"/>
      <c r="AP39" s="147"/>
      <c r="AQ39" s="145"/>
      <c r="AR39" s="147"/>
      <c r="AS39" s="145"/>
      <c r="AT39" s="146"/>
      <c r="AU39" s="146"/>
      <c r="AV39" s="146"/>
      <c r="AW39" s="146"/>
      <c r="AX39" s="146"/>
      <c r="AY39" s="146"/>
      <c r="AZ39" s="148"/>
    </row>
    <row r="40" spans="2:66" ht="18" customHeight="1">
      <c r="B40" s="4" t="s">
        <v>12</v>
      </c>
      <c r="C40" s="4" t="s">
        <v>96</v>
      </c>
      <c r="D40" s="157" t="s">
        <v>191</v>
      </c>
      <c r="E40" s="158" t="s">
        <v>229</v>
      </c>
      <c r="F40" s="79">
        <f aca="true" t="shared" si="14" ref="F40:F103">IF($J$11&gt;0,$J$11,$M$11)</f>
        <v>52272</v>
      </c>
      <c r="G40" s="80">
        <f aca="true" t="shared" si="15" ref="G40:G103">$K$11</f>
        <v>40</v>
      </c>
      <c r="H40" s="149">
        <f aca="true" t="shared" si="16" ref="H40:H103">$L$11</f>
        <v>4</v>
      </c>
      <c r="I40" s="150">
        <f aca="true" t="shared" si="17" ref="I40:I103">IF(AK40="","",IF($F40&gt;0,($F40/$AK40)*AG40,IF($G40&gt;0,(((43560/($G40/12))*$H40)/$AK40)*AG40,0)))</f>
        <v>10.4544</v>
      </c>
      <c r="J40" s="83">
        <f aca="true" t="shared" si="18" ref="J40:J103">BI40</f>
        <v>10.149902912621359</v>
      </c>
      <c r="K40" s="84">
        <f aca="true" t="shared" si="19" ref="K40:K103">BD40</f>
        <v>10.4544</v>
      </c>
      <c r="L40" s="151">
        <f aca="true" t="shared" si="20" ref="L40:L103">BG40</f>
        <v>10.149902912621359</v>
      </c>
      <c r="M40" s="152">
        <f aca="true" t="shared" si="21" ref="M40:M103">BB40</f>
        <v>10.4544</v>
      </c>
      <c r="N40" s="188">
        <f aca="true" t="shared" si="22" ref="N40:N103">IF(R40="New","New",(M40/L40)-1)</f>
        <v>0.030000000000000027</v>
      </c>
      <c r="O40" s="153">
        <f aca="true" t="shared" si="23" ref="O40:O103">IF(AW40="","",BH40)</f>
        <v>0</v>
      </c>
      <c r="P40" s="154">
        <f aca="true" t="shared" si="24" ref="P40:P103">IF(BC40="","",BC40)</f>
        <v>0</v>
      </c>
      <c r="Q40" s="176">
        <f aca="true" t="shared" si="25" ref="Q40:Q103">IF(R40="New","New",IF(AX40="","",(P40/O40)-1))</f>
      </c>
      <c r="R40" s="100">
        <f aca="true" t="shared" si="26" ref="R40:R103">IF(J40="","New",IF(J40=0,"New",K40-J40))</f>
        <v>0.3044970873786408</v>
      </c>
      <c r="S40" s="184">
        <f aca="true" t="shared" si="27" ref="S40:S103">IF(R40="New","",R40/J40)</f>
        <v>0.030000000000000002</v>
      </c>
      <c r="U40" s="208" t="s">
        <v>96</v>
      </c>
      <c r="V40" s="4" t="s">
        <v>12</v>
      </c>
      <c r="X40" s="155">
        <v>50</v>
      </c>
      <c r="Y40" s="155">
        <v>50</v>
      </c>
      <c r="Z40" s="155">
        <v>50</v>
      </c>
      <c r="AA40" s="155"/>
      <c r="AB40" s="155"/>
      <c r="AC40" s="155"/>
      <c r="AD40" s="155"/>
      <c r="AE40" s="155"/>
      <c r="AF40" s="155"/>
      <c r="AG40" s="32">
        <f aca="true" t="shared" si="28" ref="AG40:AG103">X40+(AA40+AB40)</f>
        <v>50</v>
      </c>
      <c r="AH40" s="32">
        <f aca="true" t="shared" si="29" ref="AH40:AH103">Y40+(AC40+AD40)</f>
        <v>50</v>
      </c>
      <c r="AI40" s="32">
        <f aca="true" t="shared" si="30" ref="AI40:AI103">Z40+(AE40+AF40)</f>
        <v>50</v>
      </c>
      <c r="AJ40" s="33"/>
      <c r="AK40" s="204">
        <v>250000</v>
      </c>
      <c r="AL40" s="204">
        <v>5150</v>
      </c>
      <c r="AM40" s="204">
        <v>257500</v>
      </c>
      <c r="AN40" s="33"/>
      <c r="AO40" s="204">
        <v>250000</v>
      </c>
      <c r="AP40" s="67">
        <f aca="true" t="shared" si="31" ref="AP40:AP103">AK40</f>
        <v>250000</v>
      </c>
      <c r="AQ40" s="34">
        <f aca="true" t="shared" si="32" ref="AQ40:AQ103">IF(AK40&gt;0,AM40/AK40*100,"Not Avail.")</f>
        <v>103</v>
      </c>
      <c r="AR40" s="67">
        <f aca="true" t="shared" si="33" ref="AR40:AR103">AM40</f>
        <v>257500</v>
      </c>
      <c r="AS40" s="34">
        <f aca="true" t="shared" si="34" ref="AS40:AS103">IF(AM40&gt;0,AO40/AM40*100,"Not Avail.")</f>
        <v>97.0873786407767</v>
      </c>
      <c r="AT40" s="28">
        <f aca="true" t="shared" si="35" ref="AT40:AT103">IF(Y40="","",Y40/AS40*100)</f>
        <v>51.5</v>
      </c>
      <c r="AU40" s="28">
        <f aca="true" t="shared" si="36" ref="AU40:AU103">IF(AC40="","",((AC40+AD40)/AS40*100))</f>
      </c>
      <c r="AV40" s="28">
        <f aca="true" t="shared" si="37" ref="AV40:AV103">IF(AT40="","",SUM(AT40:AU40))</f>
        <v>51.5</v>
      </c>
      <c r="AW40" s="24">
        <f aca="true" t="shared" si="38" ref="AW40:AW103">IF(AT40="","",Z40-AT40)</f>
        <v>-1.5</v>
      </c>
      <c r="AX40" s="24">
        <f aca="true" t="shared" si="39" ref="AX40:AX103">IF(AU40="","",(AE40+AF40)-AU40)</f>
      </c>
      <c r="AY40" s="24">
        <f aca="true" t="shared" si="40" ref="AY40:AY103">IF(AH40&gt;0,AI40-AV40,"New")</f>
        <v>-1.5</v>
      </c>
      <c r="AZ40" s="156">
        <f aca="true" t="shared" si="41" ref="AZ40:AZ103">F40</f>
        <v>52272</v>
      </c>
      <c r="BA40" s="35">
        <f aca="true" t="shared" si="42" ref="BA40:BA103">IF($F40&gt;0,($F40/$AO40),IF($G40&gt;0,(((43560/($G40/12))*$H40)/$AO40),0))</f>
        <v>0.209088</v>
      </c>
      <c r="BB40" s="35">
        <f aca="true" t="shared" si="43" ref="BB40:BB103">Z40/(1/BA40)</f>
        <v>10.4544</v>
      </c>
      <c r="BC40" s="36">
        <f aca="true" t="shared" si="44" ref="BC40:BC103">((AE40+AF40)/(1/BA40))</f>
        <v>0</v>
      </c>
      <c r="BD40" s="36">
        <f aca="true" t="shared" si="45" ref="BD40:BD103">BB40+BC40</f>
        <v>10.4544</v>
      </c>
      <c r="BE40" s="36" t="str">
        <f aca="true" t="shared" si="46" ref="BE40:BE103">IF(BD40=K40,"yes","no")</f>
        <v>yes</v>
      </c>
      <c r="BF40" s="37">
        <f aca="true" t="shared" si="47" ref="BF40:BF103">IF(AM40="","",IF($F40&gt;0,($F40/AM40),IF($G40&gt;0,((((43560/($G40/12))*$H40)/$AM40)),0)))</f>
        <v>0.20299805825242717</v>
      </c>
      <c r="BG40" s="37">
        <f aca="true" t="shared" si="48" ref="BG40:BG103">IF(Y40="","",Y40/(1/BF40))</f>
        <v>10.149902912621359</v>
      </c>
      <c r="BH40" s="36">
        <f aca="true" t="shared" si="49" ref="BH40:BH103">((AC40+AD40)/(1/BF40))</f>
        <v>0</v>
      </c>
      <c r="BI40" s="38">
        <f aca="true" t="shared" si="50" ref="BI40:BI103">SUM(BG40:BH40)</f>
        <v>10.149902912621359</v>
      </c>
      <c r="BJ40" s="1" t="str">
        <f aca="true" t="shared" si="51" ref="BJ40:BJ103">IF(J40=BI40,"yes","no")</f>
        <v>yes</v>
      </c>
      <c r="BK40" s="37">
        <f aca="true" t="shared" si="52" ref="BK40:BL64">IF(BG40="","",IF(BG40=0,"",BB40-BG40))</f>
        <v>0.3044970873786408</v>
      </c>
      <c r="BL40" s="37">
        <f t="shared" si="52"/>
      </c>
      <c r="BM40" s="7">
        <f aca="true" t="shared" si="53" ref="BM40:BM103">IF(BK40="","",BD40-BI40)</f>
        <v>0.3044970873786408</v>
      </c>
      <c r="BN40" s="7">
        <f aca="true" t="shared" si="54" ref="BN40:BN103">R40-BM40</f>
        <v>0</v>
      </c>
    </row>
    <row r="41" spans="2:66" ht="18" customHeight="1">
      <c r="B41" s="4" t="s">
        <v>12</v>
      </c>
      <c r="C41" s="29" t="s">
        <v>61</v>
      </c>
      <c r="D41" s="159" t="s">
        <v>191</v>
      </c>
      <c r="E41" s="158" t="s">
        <v>233</v>
      </c>
      <c r="F41" s="79">
        <f t="shared" si="14"/>
        <v>52272</v>
      </c>
      <c r="G41" s="80">
        <f t="shared" si="15"/>
        <v>40</v>
      </c>
      <c r="H41" s="149">
        <f t="shared" si="16"/>
        <v>4</v>
      </c>
      <c r="I41" s="150">
        <f t="shared" si="17"/>
      </c>
      <c r="J41" s="83">
        <f t="shared" si="18"/>
        <v>69.35544</v>
      </c>
      <c r="K41" s="84">
        <f t="shared" si="19"/>
        <v>69.35544</v>
      </c>
      <c r="L41" s="151">
        <f t="shared" si="20"/>
        <v>28.512</v>
      </c>
      <c r="M41" s="152">
        <f t="shared" si="21"/>
        <v>28.512</v>
      </c>
      <c r="N41" s="188">
        <f t="shared" si="22"/>
        <v>0</v>
      </c>
      <c r="O41" s="153">
        <f t="shared" si="23"/>
        <v>40.84344</v>
      </c>
      <c r="P41" s="154">
        <f t="shared" si="24"/>
        <v>40.84344</v>
      </c>
      <c r="Q41" s="176">
        <f t="shared" si="25"/>
        <v>0</v>
      </c>
      <c r="R41" s="100">
        <f t="shared" si="26"/>
        <v>0</v>
      </c>
      <c r="S41" s="184">
        <f t="shared" si="27"/>
        <v>0</v>
      </c>
      <c r="U41" s="207" t="s">
        <v>141</v>
      </c>
      <c r="V41" s="4" t="s">
        <v>12</v>
      </c>
      <c r="X41" s="161"/>
      <c r="Y41" s="161">
        <v>120</v>
      </c>
      <c r="Z41" s="161">
        <v>120</v>
      </c>
      <c r="AA41" s="161"/>
      <c r="AB41" s="161"/>
      <c r="AC41" s="161">
        <v>171.9</v>
      </c>
      <c r="AD41" s="161"/>
      <c r="AE41" s="161">
        <v>171.9</v>
      </c>
      <c r="AF41" s="161"/>
      <c r="AG41" s="32">
        <f t="shared" si="28"/>
        <v>0</v>
      </c>
      <c r="AH41" s="32">
        <f t="shared" si="29"/>
        <v>291.9</v>
      </c>
      <c r="AI41" s="32">
        <f t="shared" si="30"/>
        <v>291.9</v>
      </c>
      <c r="AJ41" s="33"/>
      <c r="AK41" s="160"/>
      <c r="AL41" s="33"/>
      <c r="AM41" s="160">
        <v>220000</v>
      </c>
      <c r="AN41" s="33"/>
      <c r="AO41" s="160">
        <v>220000</v>
      </c>
      <c r="AP41" s="67">
        <f t="shared" si="31"/>
        <v>0</v>
      </c>
      <c r="AQ41" s="34" t="str">
        <f t="shared" si="32"/>
        <v>Not Avail.</v>
      </c>
      <c r="AR41" s="67">
        <f t="shared" si="33"/>
        <v>220000</v>
      </c>
      <c r="AS41" s="34">
        <f t="shared" si="34"/>
        <v>100</v>
      </c>
      <c r="AT41" s="28">
        <f t="shared" si="35"/>
        <v>120</v>
      </c>
      <c r="AU41" s="28">
        <f t="shared" si="36"/>
        <v>171.9</v>
      </c>
      <c r="AV41" s="28">
        <f t="shared" si="37"/>
        <v>291.9</v>
      </c>
      <c r="AW41" s="24">
        <f t="shared" si="38"/>
        <v>0</v>
      </c>
      <c r="AX41" s="24">
        <f t="shared" si="39"/>
        <v>0</v>
      </c>
      <c r="AY41" s="24">
        <f t="shared" si="40"/>
        <v>0</v>
      </c>
      <c r="AZ41" s="156">
        <f t="shared" si="41"/>
        <v>52272</v>
      </c>
      <c r="BA41" s="35">
        <f t="shared" si="42"/>
        <v>0.2376</v>
      </c>
      <c r="BB41" s="35">
        <f t="shared" si="43"/>
        <v>28.512</v>
      </c>
      <c r="BC41" s="36">
        <f t="shared" si="44"/>
        <v>40.84344</v>
      </c>
      <c r="BD41" s="36">
        <f t="shared" si="45"/>
        <v>69.35544</v>
      </c>
      <c r="BE41" s="36" t="str">
        <f t="shared" si="46"/>
        <v>yes</v>
      </c>
      <c r="BF41" s="37">
        <f t="shared" si="47"/>
        <v>0.2376</v>
      </c>
      <c r="BG41" s="37">
        <f t="shared" si="48"/>
        <v>28.512</v>
      </c>
      <c r="BH41" s="36">
        <f t="shared" si="49"/>
        <v>40.84344</v>
      </c>
      <c r="BI41" s="38">
        <f t="shared" si="50"/>
        <v>69.35544</v>
      </c>
      <c r="BJ41" s="1" t="str">
        <f t="shared" si="51"/>
        <v>yes</v>
      </c>
      <c r="BK41" s="37">
        <f t="shared" si="52"/>
        <v>0</v>
      </c>
      <c r="BL41" s="37">
        <f t="shared" si="52"/>
        <v>0</v>
      </c>
      <c r="BM41" s="7">
        <f t="shared" si="53"/>
        <v>0</v>
      </c>
      <c r="BN41" s="7">
        <f t="shared" si="54"/>
        <v>0</v>
      </c>
    </row>
    <row r="42" spans="3:66" ht="18" customHeight="1">
      <c r="C42" s="29"/>
      <c r="D42" s="159" t="s">
        <v>191</v>
      </c>
      <c r="E42" s="158" t="s">
        <v>38</v>
      </c>
      <c r="F42" s="79">
        <f t="shared" si="14"/>
        <v>52272</v>
      </c>
      <c r="G42" s="80">
        <f t="shared" si="15"/>
        <v>40</v>
      </c>
      <c r="H42" s="149">
        <f t="shared" si="16"/>
        <v>4</v>
      </c>
      <c r="I42" s="150">
        <f>IF(AK42="","",IF($F42&gt;0,($F42/$AK42)*AG42,IF($G42&gt;0,(((43560/($G42/12))*$H42)/$AK42)*AG42,0)))</f>
      </c>
      <c r="J42" s="83">
        <f>BI42</f>
        <v>0</v>
      </c>
      <c r="K42" s="84">
        <f>BD42</f>
        <v>66.50424000000001</v>
      </c>
      <c r="L42" s="151">
        <f>BG42</f>
      </c>
      <c r="M42" s="152">
        <f>BB42</f>
        <v>25.660800000000002</v>
      </c>
      <c r="N42" s="188" t="str">
        <f>IF(R42="New","New",(M42/L42)-1)</f>
        <v>New</v>
      </c>
      <c r="O42" s="153">
        <f>IF(AW42="","",BH42)</f>
      </c>
      <c r="P42" s="154">
        <f>IF(BC42="","",BC42)</f>
        <v>40.84344</v>
      </c>
      <c r="Q42" s="176" t="str">
        <f>IF(R42="New","New",IF(AX42="","",(P42/O42)-1))</f>
        <v>New</v>
      </c>
      <c r="R42" s="100" t="str">
        <f>IF(J42="","New",IF(J42=0,"New",K42-J42))</f>
        <v>New</v>
      </c>
      <c r="S42" s="184">
        <f>IF(R42="New","",R42/J42)</f>
      </c>
      <c r="U42" s="207" t="s">
        <v>140</v>
      </c>
      <c r="V42" s="4" t="s">
        <v>12</v>
      </c>
      <c r="X42" s="161"/>
      <c r="Y42" s="161"/>
      <c r="Z42" s="161">
        <v>108</v>
      </c>
      <c r="AA42" s="161"/>
      <c r="AB42" s="161"/>
      <c r="AC42" s="161"/>
      <c r="AD42" s="161"/>
      <c r="AE42" s="161">
        <v>171.9</v>
      </c>
      <c r="AF42" s="161"/>
      <c r="AG42" s="32">
        <f t="shared" si="28"/>
        <v>0</v>
      </c>
      <c r="AH42" s="32">
        <f t="shared" si="29"/>
        <v>0</v>
      </c>
      <c r="AI42" s="32">
        <f t="shared" si="30"/>
        <v>279.9</v>
      </c>
      <c r="AJ42" s="33"/>
      <c r="AK42" s="160"/>
      <c r="AL42" s="33"/>
      <c r="AM42" s="160">
        <v>220000</v>
      </c>
      <c r="AN42" s="33"/>
      <c r="AO42" s="160">
        <v>220000</v>
      </c>
      <c r="AP42" s="67">
        <f>AK42</f>
        <v>0</v>
      </c>
      <c r="AQ42" s="34" t="str">
        <f>IF(AK42&gt;0,AM42/AK42*100,"Not Avail.")</f>
        <v>Not Avail.</v>
      </c>
      <c r="AR42" s="67">
        <f>AM42</f>
        <v>220000</v>
      </c>
      <c r="AS42" s="34">
        <f>IF(AM42&gt;0,AO42/AM42*100,"Not Avail.")</f>
        <v>100</v>
      </c>
      <c r="AT42" s="28">
        <f t="shared" si="35"/>
      </c>
      <c r="AU42" s="28">
        <f t="shared" si="36"/>
      </c>
      <c r="AV42" s="28">
        <f>IF(AT42="","",SUM(AT42:AU42))</f>
      </c>
      <c r="AW42" s="24">
        <f t="shared" si="38"/>
      </c>
      <c r="AX42" s="24">
        <f t="shared" si="39"/>
      </c>
      <c r="AY42" s="24" t="str">
        <f>IF(AH42&gt;0,AI42-AV42,"New")</f>
        <v>New</v>
      </c>
      <c r="AZ42" s="156">
        <f>F42</f>
        <v>52272</v>
      </c>
      <c r="BA42" s="35">
        <f t="shared" si="42"/>
        <v>0.2376</v>
      </c>
      <c r="BB42" s="35">
        <f t="shared" si="43"/>
        <v>25.660800000000002</v>
      </c>
      <c r="BC42" s="36">
        <f t="shared" si="44"/>
        <v>40.84344</v>
      </c>
      <c r="BD42" s="36">
        <f>BB42+BC42</f>
        <v>66.50424000000001</v>
      </c>
      <c r="BE42" s="36" t="str">
        <f>IF(BD42=K42,"yes","no")</f>
        <v>yes</v>
      </c>
      <c r="BF42" s="37">
        <f>IF(AM42="","",IF($F42&gt;0,($F42/AM42),IF($G42&gt;0,((((43560/($G42/12))*$H42)/$AM42)),0)))</f>
        <v>0.2376</v>
      </c>
      <c r="BG42" s="37">
        <f t="shared" si="48"/>
      </c>
      <c r="BH42" s="36">
        <f t="shared" si="49"/>
        <v>0</v>
      </c>
      <c r="BI42" s="38">
        <f>SUM(BG42:BH42)</f>
        <v>0</v>
      </c>
      <c r="BJ42" s="1" t="str">
        <f>IF(J42=BI42,"yes","no")</f>
        <v>yes</v>
      </c>
      <c r="BK42" s="37">
        <f t="shared" si="52"/>
      </c>
      <c r="BL42" s="37">
        <f t="shared" si="52"/>
      </c>
      <c r="BM42" s="7">
        <f>IF(BK42="","",BD42-BI42)</f>
      </c>
      <c r="BN42" s="7" t="e">
        <f>R42-BM42</f>
        <v>#VALUE!</v>
      </c>
    </row>
    <row r="43" spans="3:66" ht="18" customHeight="1">
      <c r="C43" s="29"/>
      <c r="D43" s="159" t="s">
        <v>191</v>
      </c>
      <c r="E43" s="158" t="s">
        <v>39</v>
      </c>
      <c r="F43" s="79">
        <f t="shared" si="14"/>
        <v>52272</v>
      </c>
      <c r="G43" s="80">
        <f t="shared" si="15"/>
        <v>40</v>
      </c>
      <c r="H43" s="149">
        <f t="shared" si="16"/>
        <v>4</v>
      </c>
      <c r="I43" s="150">
        <f>IF(AK43="","",IF($F43&gt;0,($F43/$AK43)*AG43,IF($G43&gt;0,(((43560/($G43/12))*$H43)/$AK43)*AG43,0)))</f>
      </c>
      <c r="J43" s="83">
        <f>BI43</f>
        <v>0</v>
      </c>
      <c r="K43" s="84">
        <f>BD43</f>
        <v>69.35544</v>
      </c>
      <c r="L43" s="151">
        <f>BG43</f>
      </c>
      <c r="M43" s="152">
        <f>BB43</f>
        <v>28.512</v>
      </c>
      <c r="N43" s="188" t="str">
        <f>IF(R43="New","New",(M43/L43)-1)</f>
        <v>New</v>
      </c>
      <c r="O43" s="153">
        <f>IF(AW43="","",BH43)</f>
      </c>
      <c r="P43" s="154">
        <f>IF(BC43="","",BC43)</f>
        <v>40.84344</v>
      </c>
      <c r="Q43" s="176" t="str">
        <f>IF(R43="New","New",IF(AX43="","",(P43/O43)-1))</f>
        <v>New</v>
      </c>
      <c r="R43" s="100" t="str">
        <f>IF(J43="","New",IF(J43=0,"New",K43-J43))</f>
        <v>New</v>
      </c>
      <c r="S43" s="184">
        <f>IF(R43="New","",R43/J43)</f>
      </c>
      <c r="U43" s="207" t="s">
        <v>141</v>
      </c>
      <c r="V43" s="4" t="s">
        <v>12</v>
      </c>
      <c r="X43" s="161"/>
      <c r="Y43" s="161"/>
      <c r="Z43" s="161">
        <v>120</v>
      </c>
      <c r="AA43" s="161"/>
      <c r="AB43" s="161"/>
      <c r="AC43" s="161"/>
      <c r="AD43" s="161"/>
      <c r="AE43" s="161">
        <v>171.9</v>
      </c>
      <c r="AF43" s="161"/>
      <c r="AG43" s="32">
        <f t="shared" si="28"/>
        <v>0</v>
      </c>
      <c r="AH43" s="32">
        <f t="shared" si="29"/>
        <v>0</v>
      </c>
      <c r="AI43" s="32">
        <f t="shared" si="30"/>
        <v>291.9</v>
      </c>
      <c r="AJ43" s="33"/>
      <c r="AK43" s="160"/>
      <c r="AL43" s="33"/>
      <c r="AM43" s="160">
        <v>220000</v>
      </c>
      <c r="AN43" s="33"/>
      <c r="AO43" s="160">
        <v>220000</v>
      </c>
      <c r="AP43" s="67">
        <f>AK43</f>
        <v>0</v>
      </c>
      <c r="AQ43" s="34" t="str">
        <f>IF(AK43&gt;0,AM43/AK43*100,"Not Avail.")</f>
        <v>Not Avail.</v>
      </c>
      <c r="AR43" s="67">
        <f>AM43</f>
        <v>220000</v>
      </c>
      <c r="AS43" s="34">
        <f>IF(AM43&gt;0,AO43/AM43*100,"Not Avail.")</f>
        <v>100</v>
      </c>
      <c r="AT43" s="28">
        <f t="shared" si="35"/>
      </c>
      <c r="AU43" s="28">
        <f t="shared" si="36"/>
      </c>
      <c r="AV43" s="28">
        <f>IF(AT43="","",SUM(AT43:AU43))</f>
      </c>
      <c r="AW43" s="24">
        <f t="shared" si="38"/>
      </c>
      <c r="AX43" s="24">
        <f t="shared" si="39"/>
      </c>
      <c r="AY43" s="24" t="str">
        <f>IF(AH43&gt;0,AI43-AV43,"New")</f>
        <v>New</v>
      </c>
      <c r="AZ43" s="156">
        <f>F43</f>
        <v>52272</v>
      </c>
      <c r="BA43" s="35">
        <f t="shared" si="42"/>
        <v>0.2376</v>
      </c>
      <c r="BB43" s="35">
        <f t="shared" si="43"/>
        <v>28.512</v>
      </c>
      <c r="BC43" s="36">
        <f t="shared" si="44"/>
        <v>40.84344</v>
      </c>
      <c r="BD43" s="36">
        <f>BB43+BC43</f>
        <v>69.35544</v>
      </c>
      <c r="BE43" s="36" t="str">
        <f>IF(BD43=K43,"yes","no")</f>
        <v>yes</v>
      </c>
      <c r="BF43" s="37">
        <f>IF(AM43="","",IF($F43&gt;0,($F43/AM43),IF($G43&gt;0,((((43560/($G43/12))*$H43)/$AM43)),0)))</f>
        <v>0.2376</v>
      </c>
      <c r="BG43" s="37">
        <f t="shared" si="48"/>
      </c>
      <c r="BH43" s="36">
        <f t="shared" si="49"/>
        <v>0</v>
      </c>
      <c r="BI43" s="38">
        <f>SUM(BG43:BH43)</f>
        <v>0</v>
      </c>
      <c r="BJ43" s="1" t="str">
        <f>IF(J43=BI43,"yes","no")</f>
        <v>yes</v>
      </c>
      <c r="BK43" s="37">
        <f t="shared" si="52"/>
      </c>
      <c r="BL43" s="37">
        <f t="shared" si="52"/>
      </c>
      <c r="BM43" s="7">
        <f>IF(BK43="","",BD43-BI43)</f>
      </c>
      <c r="BN43" s="7" t="e">
        <f>R43-BM43</f>
        <v>#VALUE!</v>
      </c>
    </row>
    <row r="44" spans="3:66" ht="18" customHeight="1">
      <c r="C44" s="29"/>
      <c r="D44" s="159" t="s">
        <v>191</v>
      </c>
      <c r="E44" s="158" t="s">
        <v>40</v>
      </c>
      <c r="F44" s="79">
        <f t="shared" si="14"/>
        <v>52272</v>
      </c>
      <c r="G44" s="80">
        <f t="shared" si="15"/>
        <v>40</v>
      </c>
      <c r="H44" s="149">
        <f t="shared" si="16"/>
        <v>4</v>
      </c>
      <c r="I44" s="150">
        <f>IF(AK44="","",IF($F44&gt;0,($F44/$AK44)*AG44,IF($G44&gt;0,(((43560/($G44/12))*$H44)/$AK44)*AG44,0)))</f>
      </c>
      <c r="J44" s="83">
        <f>BI44</f>
        <v>0</v>
      </c>
      <c r="K44" s="84">
        <f>BD44</f>
        <v>69.35544</v>
      </c>
      <c r="L44" s="151">
        <f>BG44</f>
      </c>
      <c r="M44" s="152">
        <f>BB44</f>
        <v>28.512</v>
      </c>
      <c r="N44" s="188" t="str">
        <f>IF(R44="New","New",(M44/L44)-1)</f>
        <v>New</v>
      </c>
      <c r="O44" s="153">
        <f>IF(AW44="","",BH44)</f>
      </c>
      <c r="P44" s="154">
        <f>IF(BC44="","",BC44)</f>
        <v>40.84344</v>
      </c>
      <c r="Q44" s="176" t="str">
        <f>IF(R44="New","New",IF(AX44="","",(P44/O44)-1))</f>
        <v>New</v>
      </c>
      <c r="R44" s="100" t="str">
        <f>IF(J44="","New",IF(J44=0,"New",K44-J44))</f>
        <v>New</v>
      </c>
      <c r="S44" s="184">
        <f>IF(R44="New","",R44/J44)</f>
      </c>
      <c r="U44" s="207" t="s">
        <v>141</v>
      </c>
      <c r="V44" s="4" t="s">
        <v>12</v>
      </c>
      <c r="X44" s="161"/>
      <c r="Y44" s="161"/>
      <c r="Z44" s="161">
        <v>120</v>
      </c>
      <c r="AA44" s="161"/>
      <c r="AB44" s="161"/>
      <c r="AC44" s="161"/>
      <c r="AD44" s="161"/>
      <c r="AE44" s="161">
        <v>171.9</v>
      </c>
      <c r="AF44" s="161"/>
      <c r="AG44" s="32">
        <f t="shared" si="28"/>
        <v>0</v>
      </c>
      <c r="AH44" s="32">
        <f t="shared" si="29"/>
        <v>0</v>
      </c>
      <c r="AI44" s="32">
        <f t="shared" si="30"/>
        <v>291.9</v>
      </c>
      <c r="AJ44" s="33"/>
      <c r="AK44" s="160"/>
      <c r="AL44" s="33"/>
      <c r="AM44" s="160">
        <v>220000</v>
      </c>
      <c r="AN44" s="33"/>
      <c r="AO44" s="160">
        <v>220000</v>
      </c>
      <c r="AP44" s="67">
        <f>AK44</f>
        <v>0</v>
      </c>
      <c r="AQ44" s="34" t="str">
        <f>IF(AK44&gt;0,AM44/AK44*100,"Not Avail.")</f>
        <v>Not Avail.</v>
      </c>
      <c r="AR44" s="67">
        <f>AM44</f>
        <v>220000</v>
      </c>
      <c r="AS44" s="34">
        <f>IF(AM44&gt;0,AO44/AM44*100,"Not Avail.")</f>
        <v>100</v>
      </c>
      <c r="AT44" s="28">
        <f t="shared" si="35"/>
      </c>
      <c r="AU44" s="28">
        <f t="shared" si="36"/>
      </c>
      <c r="AV44" s="28">
        <f>IF(AT44="","",SUM(AT44:AU44))</f>
      </c>
      <c r="AW44" s="24">
        <f t="shared" si="38"/>
      </c>
      <c r="AX44" s="24">
        <f t="shared" si="39"/>
      </c>
      <c r="AY44" s="24" t="str">
        <f>IF(AH44&gt;0,AI44-AV44,"New")</f>
        <v>New</v>
      </c>
      <c r="AZ44" s="156">
        <f>F44</f>
        <v>52272</v>
      </c>
      <c r="BA44" s="35">
        <f t="shared" si="42"/>
        <v>0.2376</v>
      </c>
      <c r="BB44" s="35">
        <f t="shared" si="43"/>
        <v>28.512</v>
      </c>
      <c r="BC44" s="36">
        <f t="shared" si="44"/>
        <v>40.84344</v>
      </c>
      <c r="BD44" s="36">
        <f>BB44+BC44</f>
        <v>69.35544</v>
      </c>
      <c r="BE44" s="36" t="str">
        <f>IF(BD44=K44,"yes","no")</f>
        <v>yes</v>
      </c>
      <c r="BF44" s="37">
        <f>IF(AM44="","",IF($F44&gt;0,($F44/AM44),IF($G44&gt;0,((((43560/($G44/12))*$H44)/$AM44)),0)))</f>
        <v>0.2376</v>
      </c>
      <c r="BG44" s="37">
        <f t="shared" si="48"/>
      </c>
      <c r="BH44" s="36">
        <f t="shared" si="49"/>
        <v>0</v>
      </c>
      <c r="BI44" s="38">
        <f>SUM(BG44:BH44)</f>
        <v>0</v>
      </c>
      <c r="BJ44" s="1" t="str">
        <f>IF(J44=BI44,"yes","no")</f>
        <v>yes</v>
      </c>
      <c r="BK44" s="37">
        <f t="shared" si="52"/>
      </c>
      <c r="BL44" s="37">
        <f t="shared" si="52"/>
      </c>
      <c r="BM44" s="7">
        <f>IF(BK44="","",BD44-BI44)</f>
      </c>
      <c r="BN44" s="7" t="e">
        <f>R44-BM44</f>
        <v>#VALUE!</v>
      </c>
    </row>
    <row r="45" spans="4:66" ht="18" customHeight="1">
      <c r="D45" s="157" t="s">
        <v>191</v>
      </c>
      <c r="E45" s="158" t="s">
        <v>230</v>
      </c>
      <c r="F45" s="79">
        <f t="shared" si="14"/>
        <v>52272</v>
      </c>
      <c r="G45" s="80">
        <f t="shared" si="15"/>
        <v>40</v>
      </c>
      <c r="H45" s="149">
        <f t="shared" si="16"/>
        <v>4</v>
      </c>
      <c r="I45" s="150">
        <f t="shared" si="17"/>
      </c>
      <c r="J45" s="83">
        <f t="shared" si="18"/>
        <v>14.204347826086957</v>
      </c>
      <c r="K45" s="84">
        <f t="shared" si="19"/>
        <v>14.051612903225807</v>
      </c>
      <c r="L45" s="151">
        <f t="shared" si="20"/>
        <v>14.204347826086957</v>
      </c>
      <c r="M45" s="152">
        <f t="shared" si="21"/>
        <v>14.051612903225807</v>
      </c>
      <c r="N45" s="188">
        <f t="shared" si="22"/>
        <v>-0.010752688172043001</v>
      </c>
      <c r="O45" s="153">
        <f t="shared" si="23"/>
        <v>0</v>
      </c>
      <c r="P45" s="154">
        <f t="shared" si="24"/>
        <v>0</v>
      </c>
      <c r="Q45" s="176">
        <f t="shared" si="25"/>
      </c>
      <c r="R45" s="100">
        <f t="shared" si="26"/>
        <v>-0.15273492286114987</v>
      </c>
      <c r="S45" s="184">
        <f t="shared" si="27"/>
        <v>-0.010752688172042996</v>
      </c>
      <c r="U45" s="208" t="s">
        <v>96</v>
      </c>
      <c r="V45" s="4" t="s">
        <v>12</v>
      </c>
      <c r="X45" s="155"/>
      <c r="Y45" s="155">
        <v>62.5</v>
      </c>
      <c r="Z45" s="155">
        <v>62.5</v>
      </c>
      <c r="AA45" s="155"/>
      <c r="AB45" s="155"/>
      <c r="AC45" s="155"/>
      <c r="AD45" s="155"/>
      <c r="AE45" s="155"/>
      <c r="AF45" s="155"/>
      <c r="AG45" s="32">
        <f t="shared" si="28"/>
        <v>0</v>
      </c>
      <c r="AH45" s="32">
        <f t="shared" si="29"/>
        <v>62.5</v>
      </c>
      <c r="AI45" s="32">
        <f t="shared" si="30"/>
        <v>62.5</v>
      </c>
      <c r="AJ45" s="33"/>
      <c r="AK45" s="204"/>
      <c r="AL45" s="33">
        <v>4600</v>
      </c>
      <c r="AM45" s="204">
        <v>230000</v>
      </c>
      <c r="AN45" s="33"/>
      <c r="AO45" s="204">
        <v>232500</v>
      </c>
      <c r="AP45" s="67">
        <f t="shared" si="31"/>
        <v>0</v>
      </c>
      <c r="AQ45" s="34" t="str">
        <f t="shared" si="32"/>
        <v>Not Avail.</v>
      </c>
      <c r="AR45" s="67">
        <f t="shared" si="33"/>
        <v>230000</v>
      </c>
      <c r="AS45" s="34">
        <f t="shared" si="34"/>
        <v>101.08695652173914</v>
      </c>
      <c r="AT45" s="28">
        <f t="shared" si="35"/>
        <v>61.8279569892473</v>
      </c>
      <c r="AU45" s="28">
        <f t="shared" si="36"/>
      </c>
      <c r="AV45" s="28">
        <f t="shared" si="37"/>
        <v>61.8279569892473</v>
      </c>
      <c r="AW45" s="24">
        <f t="shared" si="38"/>
        <v>0.6720430107527022</v>
      </c>
      <c r="AX45" s="24">
        <f t="shared" si="39"/>
      </c>
      <c r="AY45" s="24">
        <f t="shared" si="40"/>
        <v>0.6720430107527022</v>
      </c>
      <c r="AZ45" s="156">
        <f t="shared" si="41"/>
        <v>52272</v>
      </c>
      <c r="BA45" s="35">
        <f t="shared" si="42"/>
        <v>0.2248258064516129</v>
      </c>
      <c r="BB45" s="35">
        <f t="shared" si="43"/>
        <v>14.051612903225807</v>
      </c>
      <c r="BC45" s="36">
        <f t="shared" si="44"/>
        <v>0</v>
      </c>
      <c r="BD45" s="36">
        <f t="shared" si="45"/>
        <v>14.051612903225807</v>
      </c>
      <c r="BE45" s="36" t="str">
        <f t="shared" si="46"/>
        <v>yes</v>
      </c>
      <c r="BF45" s="37">
        <f t="shared" si="47"/>
        <v>0.2272695652173913</v>
      </c>
      <c r="BG45" s="37">
        <f t="shared" si="48"/>
        <v>14.204347826086957</v>
      </c>
      <c r="BH45" s="36">
        <f t="shared" si="49"/>
        <v>0</v>
      </c>
      <c r="BI45" s="38">
        <f t="shared" si="50"/>
        <v>14.204347826086957</v>
      </c>
      <c r="BJ45" s="1" t="str">
        <f t="shared" si="51"/>
        <v>yes</v>
      </c>
      <c r="BK45" s="37">
        <f t="shared" si="52"/>
        <v>-0.15273492286114987</v>
      </c>
      <c r="BL45" s="37">
        <f t="shared" si="52"/>
      </c>
      <c r="BM45" s="7">
        <f t="shared" si="53"/>
        <v>-0.15273492286114987</v>
      </c>
      <c r="BN45" s="7">
        <f t="shared" si="54"/>
        <v>0</v>
      </c>
    </row>
    <row r="46" spans="2:66" ht="18" customHeight="1">
      <c r="B46" s="4" t="s">
        <v>12</v>
      </c>
      <c r="C46" s="4" t="s">
        <v>95</v>
      </c>
      <c r="D46" s="157" t="s">
        <v>191</v>
      </c>
      <c r="E46" s="158" t="s">
        <v>179</v>
      </c>
      <c r="F46" s="79">
        <f t="shared" si="14"/>
        <v>52272</v>
      </c>
      <c r="G46" s="80">
        <f t="shared" si="15"/>
        <v>40</v>
      </c>
      <c r="H46" s="149">
        <f t="shared" si="16"/>
        <v>4</v>
      </c>
      <c r="I46" s="150">
        <f t="shared" si="17"/>
        <v>67.5972</v>
      </c>
      <c r="J46" s="83">
        <f t="shared" si="18"/>
        <v>66.50424000000001</v>
      </c>
      <c r="K46" s="84">
        <f t="shared" si="19"/>
        <v>66.50424000000001</v>
      </c>
      <c r="L46" s="151">
        <f t="shared" si="20"/>
        <v>25.660800000000002</v>
      </c>
      <c r="M46" s="152">
        <f t="shared" si="21"/>
        <v>25.660800000000002</v>
      </c>
      <c r="N46" s="188">
        <f t="shared" si="22"/>
        <v>0</v>
      </c>
      <c r="O46" s="153">
        <f t="shared" si="23"/>
        <v>40.84344</v>
      </c>
      <c r="P46" s="154">
        <f t="shared" si="24"/>
        <v>40.84344</v>
      </c>
      <c r="Q46" s="176">
        <f t="shared" si="25"/>
        <v>0</v>
      </c>
      <c r="R46" s="100">
        <f t="shared" si="26"/>
        <v>0</v>
      </c>
      <c r="S46" s="184">
        <f t="shared" si="27"/>
        <v>0</v>
      </c>
      <c r="U46" s="208" t="s">
        <v>95</v>
      </c>
      <c r="V46" s="4" t="s">
        <v>12</v>
      </c>
      <c r="X46" s="32">
        <v>120</v>
      </c>
      <c r="Y46" s="32">
        <v>108</v>
      </c>
      <c r="Z46" s="32">
        <v>108</v>
      </c>
      <c r="AA46" s="32">
        <v>164.5</v>
      </c>
      <c r="AB46" s="32"/>
      <c r="AC46" s="32">
        <v>171.9</v>
      </c>
      <c r="AD46" s="32"/>
      <c r="AE46" s="32">
        <v>171.9</v>
      </c>
      <c r="AF46" s="32"/>
      <c r="AG46" s="32">
        <f t="shared" si="28"/>
        <v>284.5</v>
      </c>
      <c r="AH46" s="32">
        <f t="shared" si="29"/>
        <v>279.9</v>
      </c>
      <c r="AI46" s="32">
        <f t="shared" si="30"/>
        <v>279.9</v>
      </c>
      <c r="AJ46" s="33"/>
      <c r="AK46" s="33">
        <v>220000</v>
      </c>
      <c r="AL46" s="33"/>
      <c r="AM46" s="33">
        <v>220000</v>
      </c>
      <c r="AN46" s="33"/>
      <c r="AO46" s="160">
        <v>220000</v>
      </c>
      <c r="AP46" s="67">
        <f t="shared" si="31"/>
        <v>220000</v>
      </c>
      <c r="AQ46" s="34">
        <f t="shared" si="32"/>
        <v>100</v>
      </c>
      <c r="AR46" s="67">
        <f t="shared" si="33"/>
        <v>220000</v>
      </c>
      <c r="AS46" s="34">
        <f t="shared" si="34"/>
        <v>100</v>
      </c>
      <c r="AT46" s="28">
        <f t="shared" si="35"/>
        <v>108</v>
      </c>
      <c r="AU46" s="28">
        <f t="shared" si="36"/>
        <v>171.9</v>
      </c>
      <c r="AV46" s="28">
        <f t="shared" si="37"/>
        <v>279.9</v>
      </c>
      <c r="AW46" s="24">
        <f t="shared" si="38"/>
        <v>0</v>
      </c>
      <c r="AX46" s="24">
        <f t="shared" si="39"/>
        <v>0</v>
      </c>
      <c r="AY46" s="24">
        <f t="shared" si="40"/>
        <v>0</v>
      </c>
      <c r="AZ46" s="156">
        <f t="shared" si="41"/>
        <v>52272</v>
      </c>
      <c r="BA46" s="35">
        <f t="shared" si="42"/>
        <v>0.2376</v>
      </c>
      <c r="BB46" s="35">
        <f t="shared" si="43"/>
        <v>25.660800000000002</v>
      </c>
      <c r="BC46" s="36">
        <f t="shared" si="44"/>
        <v>40.84344</v>
      </c>
      <c r="BD46" s="36">
        <f t="shared" si="45"/>
        <v>66.50424000000001</v>
      </c>
      <c r="BE46" s="36" t="str">
        <f t="shared" si="46"/>
        <v>yes</v>
      </c>
      <c r="BF46" s="37">
        <f t="shared" si="47"/>
        <v>0.2376</v>
      </c>
      <c r="BG46" s="37">
        <f t="shared" si="48"/>
        <v>25.660800000000002</v>
      </c>
      <c r="BH46" s="36">
        <f t="shared" si="49"/>
        <v>40.84344</v>
      </c>
      <c r="BI46" s="38">
        <f t="shared" si="50"/>
        <v>66.50424000000001</v>
      </c>
      <c r="BJ46" s="1" t="str">
        <f t="shared" si="51"/>
        <v>yes</v>
      </c>
      <c r="BK46" s="37">
        <f t="shared" si="52"/>
        <v>0</v>
      </c>
      <c r="BL46" s="37">
        <f t="shared" si="52"/>
        <v>0</v>
      </c>
      <c r="BM46" s="7">
        <f t="shared" si="53"/>
        <v>0</v>
      </c>
      <c r="BN46" s="7">
        <f t="shared" si="54"/>
        <v>0</v>
      </c>
    </row>
    <row r="47" spans="2:66" ht="18" customHeight="1">
      <c r="B47" s="4" t="s">
        <v>12</v>
      </c>
      <c r="C47" s="4" t="s">
        <v>95</v>
      </c>
      <c r="D47" s="157" t="s">
        <v>191</v>
      </c>
      <c r="E47" s="158" t="s">
        <v>180</v>
      </c>
      <c r="F47" s="79">
        <f t="shared" si="14"/>
        <v>52272</v>
      </c>
      <c r="G47" s="80">
        <f t="shared" si="15"/>
        <v>40</v>
      </c>
      <c r="H47" s="149">
        <f t="shared" si="16"/>
        <v>4</v>
      </c>
      <c r="I47" s="150">
        <f t="shared" si="17"/>
        <v>63.558</v>
      </c>
      <c r="J47" s="83">
        <f t="shared" si="18"/>
        <v>64.12824</v>
      </c>
      <c r="K47" s="84">
        <f t="shared" si="19"/>
        <v>64.12824</v>
      </c>
      <c r="L47" s="151">
        <f t="shared" si="20"/>
        <v>23.2848</v>
      </c>
      <c r="M47" s="152">
        <f t="shared" si="21"/>
        <v>23.2848</v>
      </c>
      <c r="N47" s="188">
        <f t="shared" si="22"/>
        <v>0</v>
      </c>
      <c r="O47" s="153">
        <f t="shared" si="23"/>
        <v>40.84344</v>
      </c>
      <c r="P47" s="154">
        <f t="shared" si="24"/>
        <v>40.84344</v>
      </c>
      <c r="Q47" s="176">
        <f t="shared" si="25"/>
        <v>0</v>
      </c>
      <c r="R47" s="100">
        <f t="shared" si="26"/>
        <v>0</v>
      </c>
      <c r="S47" s="184">
        <f t="shared" si="27"/>
        <v>0</v>
      </c>
      <c r="U47" s="208" t="s">
        <v>95</v>
      </c>
      <c r="V47" s="4" t="s">
        <v>12</v>
      </c>
      <c r="X47" s="32">
        <v>103</v>
      </c>
      <c r="Y47" s="32">
        <v>98</v>
      </c>
      <c r="Z47" s="32">
        <v>98</v>
      </c>
      <c r="AA47" s="32">
        <v>164.5</v>
      </c>
      <c r="AB47" s="32"/>
      <c r="AC47" s="206">
        <v>171.9</v>
      </c>
      <c r="AD47" s="32"/>
      <c r="AE47" s="206">
        <v>171.9</v>
      </c>
      <c r="AF47" s="32"/>
      <c r="AG47" s="32">
        <f t="shared" si="28"/>
        <v>267.5</v>
      </c>
      <c r="AH47" s="32">
        <f t="shared" si="29"/>
        <v>269.9</v>
      </c>
      <c r="AI47" s="32">
        <f t="shared" si="30"/>
        <v>269.9</v>
      </c>
      <c r="AJ47" s="33"/>
      <c r="AK47" s="33">
        <v>220000</v>
      </c>
      <c r="AL47" s="33"/>
      <c r="AM47" s="33">
        <v>220000</v>
      </c>
      <c r="AN47" s="33"/>
      <c r="AO47" s="160">
        <v>220000</v>
      </c>
      <c r="AP47" s="67">
        <f t="shared" si="31"/>
        <v>220000</v>
      </c>
      <c r="AQ47" s="34">
        <f t="shared" si="32"/>
        <v>100</v>
      </c>
      <c r="AR47" s="67">
        <f t="shared" si="33"/>
        <v>220000</v>
      </c>
      <c r="AS47" s="34">
        <f t="shared" si="34"/>
        <v>100</v>
      </c>
      <c r="AT47" s="28">
        <f t="shared" si="35"/>
        <v>98</v>
      </c>
      <c r="AU47" s="28">
        <f t="shared" si="36"/>
        <v>171.9</v>
      </c>
      <c r="AV47" s="28">
        <f t="shared" si="37"/>
        <v>269.9</v>
      </c>
      <c r="AW47" s="24">
        <f t="shared" si="38"/>
        <v>0</v>
      </c>
      <c r="AX47" s="24">
        <f t="shared" si="39"/>
        <v>0</v>
      </c>
      <c r="AY47" s="24">
        <f t="shared" si="40"/>
        <v>0</v>
      </c>
      <c r="AZ47" s="156">
        <f t="shared" si="41"/>
        <v>52272</v>
      </c>
      <c r="BA47" s="35">
        <f t="shared" si="42"/>
        <v>0.2376</v>
      </c>
      <c r="BB47" s="35">
        <f t="shared" si="43"/>
        <v>23.2848</v>
      </c>
      <c r="BC47" s="36">
        <f t="shared" si="44"/>
        <v>40.84344</v>
      </c>
      <c r="BD47" s="36">
        <f t="shared" si="45"/>
        <v>64.12824</v>
      </c>
      <c r="BE47" s="36" t="str">
        <f t="shared" si="46"/>
        <v>yes</v>
      </c>
      <c r="BF47" s="37">
        <f t="shared" si="47"/>
        <v>0.2376</v>
      </c>
      <c r="BG47" s="37">
        <f t="shared" si="48"/>
        <v>23.2848</v>
      </c>
      <c r="BH47" s="36">
        <f t="shared" si="49"/>
        <v>40.84344</v>
      </c>
      <c r="BI47" s="38">
        <f t="shared" si="50"/>
        <v>64.12824</v>
      </c>
      <c r="BJ47" s="1" t="str">
        <f t="shared" si="51"/>
        <v>yes</v>
      </c>
      <c r="BK47" s="37">
        <f t="shared" si="52"/>
        <v>0</v>
      </c>
      <c r="BL47" s="37">
        <f t="shared" si="52"/>
        <v>0</v>
      </c>
      <c r="BM47" s="7">
        <f t="shared" si="53"/>
        <v>0</v>
      </c>
      <c r="BN47" s="7">
        <f t="shared" si="54"/>
        <v>0</v>
      </c>
    </row>
    <row r="48" spans="2:66" ht="18" customHeight="1">
      <c r="B48" s="4" t="s">
        <v>13</v>
      </c>
      <c r="C48" s="4" t="s">
        <v>96</v>
      </c>
      <c r="D48" s="157" t="s">
        <v>191</v>
      </c>
      <c r="E48" s="158" t="s">
        <v>181</v>
      </c>
      <c r="F48" s="79">
        <f t="shared" si="14"/>
        <v>52272</v>
      </c>
      <c r="G48" s="80">
        <f t="shared" si="15"/>
        <v>40</v>
      </c>
      <c r="H48" s="149">
        <f t="shared" si="16"/>
        <v>4</v>
      </c>
      <c r="I48" s="150">
        <f t="shared" si="17"/>
        <v>9.92506329113924</v>
      </c>
      <c r="J48" s="83">
        <f t="shared" si="18"/>
        <v>9.92506329113924</v>
      </c>
      <c r="K48" s="84">
        <f t="shared" si="19"/>
        <v>9.92506329113924</v>
      </c>
      <c r="L48" s="151">
        <f t="shared" si="20"/>
        <v>9.92506329113924</v>
      </c>
      <c r="M48" s="152">
        <f t="shared" si="21"/>
        <v>9.92506329113924</v>
      </c>
      <c r="N48" s="188">
        <f t="shared" si="22"/>
        <v>0</v>
      </c>
      <c r="O48" s="153">
        <f t="shared" si="23"/>
        <v>0</v>
      </c>
      <c r="P48" s="154">
        <f t="shared" si="24"/>
        <v>0</v>
      </c>
      <c r="Q48" s="176">
        <f t="shared" si="25"/>
      </c>
      <c r="R48" s="100">
        <f t="shared" si="26"/>
        <v>0</v>
      </c>
      <c r="S48" s="184">
        <f t="shared" si="27"/>
        <v>0</v>
      </c>
      <c r="U48" s="208" t="s">
        <v>96</v>
      </c>
      <c r="V48" s="4" t="s">
        <v>13</v>
      </c>
      <c r="X48" s="155">
        <v>45</v>
      </c>
      <c r="Y48" s="155">
        <v>45</v>
      </c>
      <c r="Z48" s="155">
        <v>45</v>
      </c>
      <c r="AA48" s="155"/>
      <c r="AB48" s="155"/>
      <c r="AC48" s="155"/>
      <c r="AD48" s="155"/>
      <c r="AE48" s="155"/>
      <c r="AF48" s="155"/>
      <c r="AG48" s="32">
        <f t="shared" si="28"/>
        <v>45</v>
      </c>
      <c r="AH48" s="32">
        <f t="shared" si="29"/>
        <v>45</v>
      </c>
      <c r="AI48" s="32">
        <f t="shared" si="30"/>
        <v>45</v>
      </c>
      <c r="AJ48" s="33"/>
      <c r="AK48" s="204">
        <v>237000</v>
      </c>
      <c r="AL48" s="33"/>
      <c r="AM48" s="204">
        <v>237000</v>
      </c>
      <c r="AN48" s="33"/>
      <c r="AO48" s="204">
        <v>237000</v>
      </c>
      <c r="AP48" s="67">
        <f t="shared" si="31"/>
        <v>237000</v>
      </c>
      <c r="AQ48" s="34">
        <f t="shared" si="32"/>
        <v>100</v>
      </c>
      <c r="AR48" s="67">
        <f t="shared" si="33"/>
        <v>237000</v>
      </c>
      <c r="AS48" s="34">
        <f t="shared" si="34"/>
        <v>100</v>
      </c>
      <c r="AT48" s="28">
        <f t="shared" si="35"/>
        <v>45</v>
      </c>
      <c r="AU48" s="28">
        <f t="shared" si="36"/>
      </c>
      <c r="AV48" s="28">
        <f t="shared" si="37"/>
        <v>45</v>
      </c>
      <c r="AW48" s="24">
        <f t="shared" si="38"/>
        <v>0</v>
      </c>
      <c r="AX48" s="24">
        <f t="shared" si="39"/>
      </c>
      <c r="AY48" s="24">
        <f t="shared" si="40"/>
        <v>0</v>
      </c>
      <c r="AZ48" s="156">
        <f t="shared" si="41"/>
        <v>52272</v>
      </c>
      <c r="BA48" s="35">
        <f t="shared" si="42"/>
        <v>0.22055696202531647</v>
      </c>
      <c r="BB48" s="35">
        <f t="shared" si="43"/>
        <v>9.92506329113924</v>
      </c>
      <c r="BC48" s="36">
        <f t="shared" si="44"/>
        <v>0</v>
      </c>
      <c r="BD48" s="36">
        <f t="shared" si="45"/>
        <v>9.92506329113924</v>
      </c>
      <c r="BE48" s="36" t="str">
        <f t="shared" si="46"/>
        <v>yes</v>
      </c>
      <c r="BF48" s="37">
        <f t="shared" si="47"/>
        <v>0.22055696202531647</v>
      </c>
      <c r="BG48" s="37">
        <f t="shared" si="48"/>
        <v>9.92506329113924</v>
      </c>
      <c r="BH48" s="36">
        <f t="shared" si="49"/>
        <v>0</v>
      </c>
      <c r="BI48" s="38">
        <f t="shared" si="50"/>
        <v>9.92506329113924</v>
      </c>
      <c r="BJ48" s="1" t="str">
        <f t="shared" si="51"/>
        <v>yes</v>
      </c>
      <c r="BK48" s="37">
        <f t="shared" si="52"/>
        <v>0</v>
      </c>
      <c r="BL48" s="37">
        <f t="shared" si="52"/>
      </c>
      <c r="BM48" s="7">
        <f t="shared" si="53"/>
        <v>0</v>
      </c>
      <c r="BN48" s="7">
        <f t="shared" si="54"/>
        <v>0</v>
      </c>
    </row>
    <row r="49" spans="2:66" ht="18" customHeight="1">
      <c r="B49" s="4" t="s">
        <v>12</v>
      </c>
      <c r="C49" s="4" t="s">
        <v>97</v>
      </c>
      <c r="D49" s="159" t="s">
        <v>191</v>
      </c>
      <c r="E49" s="158" t="s">
        <v>89</v>
      </c>
      <c r="F49" s="79">
        <f t="shared" si="14"/>
        <v>52272</v>
      </c>
      <c r="G49" s="80">
        <f t="shared" si="15"/>
        <v>40</v>
      </c>
      <c r="H49" s="149">
        <f t="shared" si="16"/>
        <v>4</v>
      </c>
      <c r="I49" s="150">
        <f t="shared" si="17"/>
        <v>56.7864</v>
      </c>
      <c r="J49" s="83">
        <f t="shared" si="18"/>
        <v>57.879360000000005</v>
      </c>
      <c r="K49" s="84">
        <f t="shared" si="19"/>
        <v>57.879360000000005</v>
      </c>
      <c r="L49" s="151">
        <f t="shared" si="20"/>
        <v>25.660800000000002</v>
      </c>
      <c r="M49" s="152">
        <f t="shared" si="21"/>
        <v>25.660800000000002</v>
      </c>
      <c r="N49" s="188">
        <f t="shared" si="22"/>
        <v>0</v>
      </c>
      <c r="O49" s="153">
        <f t="shared" si="23"/>
        <v>32.218560000000004</v>
      </c>
      <c r="P49" s="154">
        <f t="shared" si="24"/>
        <v>32.218560000000004</v>
      </c>
      <c r="Q49" s="176">
        <f t="shared" si="25"/>
        <v>0</v>
      </c>
      <c r="R49" s="100">
        <f t="shared" si="26"/>
        <v>0</v>
      </c>
      <c r="S49" s="184">
        <f t="shared" si="27"/>
        <v>0</v>
      </c>
      <c r="U49" s="208" t="s">
        <v>97</v>
      </c>
      <c r="V49" s="4" t="s">
        <v>12</v>
      </c>
      <c r="X49" s="162">
        <v>113</v>
      </c>
      <c r="Y49" s="162">
        <v>108</v>
      </c>
      <c r="Z49" s="162">
        <v>108</v>
      </c>
      <c r="AA49" s="31">
        <v>126</v>
      </c>
      <c r="AB49" s="31"/>
      <c r="AC49" s="31">
        <v>135.6</v>
      </c>
      <c r="AD49" s="31"/>
      <c r="AE49" s="31">
        <v>135.6</v>
      </c>
      <c r="AF49" s="31"/>
      <c r="AG49" s="32">
        <f t="shared" si="28"/>
        <v>239</v>
      </c>
      <c r="AH49" s="32">
        <f t="shared" si="29"/>
        <v>243.6</v>
      </c>
      <c r="AI49" s="32">
        <f t="shared" si="30"/>
        <v>243.6</v>
      </c>
      <c r="AJ49" s="33"/>
      <c r="AK49" s="25">
        <v>220000</v>
      </c>
      <c r="AL49" s="33"/>
      <c r="AM49" s="25">
        <v>220000</v>
      </c>
      <c r="AN49" s="33"/>
      <c r="AO49" s="25">
        <v>220000</v>
      </c>
      <c r="AP49" s="67">
        <f t="shared" si="31"/>
        <v>220000</v>
      </c>
      <c r="AQ49" s="34">
        <f t="shared" si="32"/>
        <v>100</v>
      </c>
      <c r="AR49" s="67">
        <f t="shared" si="33"/>
        <v>220000</v>
      </c>
      <c r="AS49" s="34">
        <f t="shared" si="34"/>
        <v>100</v>
      </c>
      <c r="AT49" s="28">
        <f t="shared" si="35"/>
        <v>108</v>
      </c>
      <c r="AU49" s="28">
        <f t="shared" si="36"/>
        <v>135.6</v>
      </c>
      <c r="AV49" s="28">
        <f t="shared" si="37"/>
        <v>243.6</v>
      </c>
      <c r="AW49" s="24">
        <f t="shared" si="38"/>
        <v>0</v>
      </c>
      <c r="AX49" s="24">
        <f t="shared" si="39"/>
        <v>0</v>
      </c>
      <c r="AY49" s="24">
        <f t="shared" si="40"/>
        <v>0</v>
      </c>
      <c r="AZ49" s="156">
        <f t="shared" si="41"/>
        <v>52272</v>
      </c>
      <c r="BA49" s="35">
        <f t="shared" si="42"/>
        <v>0.2376</v>
      </c>
      <c r="BB49" s="35">
        <f t="shared" si="43"/>
        <v>25.660800000000002</v>
      </c>
      <c r="BC49" s="36">
        <f t="shared" si="44"/>
        <v>32.218560000000004</v>
      </c>
      <c r="BD49" s="36">
        <f t="shared" si="45"/>
        <v>57.879360000000005</v>
      </c>
      <c r="BE49" s="36" t="str">
        <f t="shared" si="46"/>
        <v>yes</v>
      </c>
      <c r="BF49" s="37">
        <f t="shared" si="47"/>
        <v>0.2376</v>
      </c>
      <c r="BG49" s="37">
        <f t="shared" si="48"/>
        <v>25.660800000000002</v>
      </c>
      <c r="BH49" s="36">
        <f t="shared" si="49"/>
        <v>32.218560000000004</v>
      </c>
      <c r="BI49" s="38">
        <f t="shared" si="50"/>
        <v>57.879360000000005</v>
      </c>
      <c r="BJ49" s="1" t="str">
        <f t="shared" si="51"/>
        <v>yes</v>
      </c>
      <c r="BK49" s="37">
        <f t="shared" si="52"/>
        <v>0</v>
      </c>
      <c r="BL49" s="37">
        <f t="shared" si="52"/>
        <v>0</v>
      </c>
      <c r="BM49" s="7">
        <f t="shared" si="53"/>
        <v>0</v>
      </c>
      <c r="BN49" s="7">
        <f t="shared" si="54"/>
        <v>0</v>
      </c>
    </row>
    <row r="50" spans="2:66" ht="18" customHeight="1">
      <c r="B50" s="4" t="s">
        <v>13</v>
      </c>
      <c r="C50" s="29" t="s">
        <v>96</v>
      </c>
      <c r="D50" s="157" t="s">
        <v>191</v>
      </c>
      <c r="E50" s="158" t="s">
        <v>182</v>
      </c>
      <c r="F50" s="79">
        <f t="shared" si="14"/>
        <v>52272</v>
      </c>
      <c r="G50" s="80">
        <f t="shared" si="15"/>
        <v>40</v>
      </c>
      <c r="H50" s="149">
        <f t="shared" si="16"/>
        <v>4</v>
      </c>
      <c r="I50" s="150">
        <f t="shared" si="17"/>
        <v>10.227130434782609</v>
      </c>
      <c r="J50" s="83">
        <f t="shared" si="18"/>
        <v>7.954434782608696</v>
      </c>
      <c r="K50" s="84">
        <f t="shared" si="19"/>
        <v>10.227130434782609</v>
      </c>
      <c r="L50" s="151">
        <f t="shared" si="20"/>
        <v>7.954434782608696</v>
      </c>
      <c r="M50" s="152">
        <f t="shared" si="21"/>
        <v>10.227130434782609</v>
      </c>
      <c r="N50" s="188">
        <f t="shared" si="22"/>
        <v>0.2857142857142856</v>
      </c>
      <c r="O50" s="153">
        <f t="shared" si="23"/>
        <v>0</v>
      </c>
      <c r="P50" s="154">
        <f t="shared" si="24"/>
        <v>0</v>
      </c>
      <c r="Q50" s="176">
        <f t="shared" si="25"/>
      </c>
      <c r="R50" s="100">
        <f t="shared" si="26"/>
        <v>2.272695652173913</v>
      </c>
      <c r="S50" s="184">
        <f t="shared" si="27"/>
        <v>0.28571428571428564</v>
      </c>
      <c r="U50" s="207" t="s">
        <v>96</v>
      </c>
      <c r="V50" s="4" t="s">
        <v>13</v>
      </c>
      <c r="X50" s="155">
        <v>45</v>
      </c>
      <c r="Y50" s="155">
        <v>35</v>
      </c>
      <c r="Z50" s="155">
        <v>45</v>
      </c>
      <c r="AA50" s="155"/>
      <c r="AB50" s="155"/>
      <c r="AC50" s="155"/>
      <c r="AD50" s="155"/>
      <c r="AE50" s="155"/>
      <c r="AF50" s="155"/>
      <c r="AG50" s="32">
        <f t="shared" si="28"/>
        <v>45</v>
      </c>
      <c r="AH50" s="32">
        <f t="shared" si="29"/>
        <v>35</v>
      </c>
      <c r="AI50" s="32">
        <f t="shared" si="30"/>
        <v>45</v>
      </c>
      <c r="AJ50" s="23"/>
      <c r="AK50" s="204">
        <v>230000</v>
      </c>
      <c r="AL50" s="23"/>
      <c r="AM50" s="204">
        <v>230000</v>
      </c>
      <c r="AN50" s="23"/>
      <c r="AO50" s="204">
        <v>230000</v>
      </c>
      <c r="AP50" s="67">
        <f t="shared" si="31"/>
        <v>230000</v>
      </c>
      <c r="AQ50" s="34">
        <f t="shared" si="32"/>
        <v>100</v>
      </c>
      <c r="AR50" s="67">
        <f t="shared" si="33"/>
        <v>230000</v>
      </c>
      <c r="AS50" s="34">
        <f t="shared" si="34"/>
        <v>100</v>
      </c>
      <c r="AT50" s="28">
        <f t="shared" si="35"/>
        <v>35</v>
      </c>
      <c r="AU50" s="28">
        <f t="shared" si="36"/>
      </c>
      <c r="AV50" s="28">
        <f t="shared" si="37"/>
        <v>35</v>
      </c>
      <c r="AW50" s="24">
        <f t="shared" si="38"/>
        <v>10</v>
      </c>
      <c r="AX50" s="24">
        <f t="shared" si="39"/>
      </c>
      <c r="AY50" s="24">
        <f t="shared" si="40"/>
        <v>10</v>
      </c>
      <c r="AZ50" s="156">
        <f t="shared" si="41"/>
        <v>52272</v>
      </c>
      <c r="BA50" s="35">
        <f t="shared" si="42"/>
        <v>0.2272695652173913</v>
      </c>
      <c r="BB50" s="35">
        <f t="shared" si="43"/>
        <v>10.227130434782609</v>
      </c>
      <c r="BC50" s="36">
        <f t="shared" si="44"/>
        <v>0</v>
      </c>
      <c r="BD50" s="36">
        <f t="shared" si="45"/>
        <v>10.227130434782609</v>
      </c>
      <c r="BE50" s="36" t="str">
        <f t="shared" si="46"/>
        <v>yes</v>
      </c>
      <c r="BF50" s="37">
        <f t="shared" si="47"/>
        <v>0.2272695652173913</v>
      </c>
      <c r="BG50" s="37">
        <f t="shared" si="48"/>
        <v>7.954434782608696</v>
      </c>
      <c r="BH50" s="36">
        <f t="shared" si="49"/>
        <v>0</v>
      </c>
      <c r="BI50" s="38">
        <f t="shared" si="50"/>
        <v>7.954434782608696</v>
      </c>
      <c r="BJ50" s="1" t="str">
        <f t="shared" si="51"/>
        <v>yes</v>
      </c>
      <c r="BK50" s="37">
        <f t="shared" si="52"/>
        <v>2.272695652173913</v>
      </c>
      <c r="BL50" s="37">
        <f t="shared" si="52"/>
      </c>
      <c r="BM50" s="7">
        <f t="shared" si="53"/>
        <v>2.272695652173913</v>
      </c>
      <c r="BN50" s="7">
        <f t="shared" si="54"/>
        <v>0</v>
      </c>
    </row>
    <row r="51" spans="4:66" ht="18" customHeight="1">
      <c r="D51" s="157" t="s">
        <v>191</v>
      </c>
      <c r="E51" s="158" t="s">
        <v>231</v>
      </c>
      <c r="F51" s="79">
        <f t="shared" si="14"/>
        <v>52272</v>
      </c>
      <c r="G51" s="80">
        <f t="shared" si="15"/>
        <v>40</v>
      </c>
      <c r="H51" s="149">
        <f t="shared" si="16"/>
        <v>4</v>
      </c>
      <c r="I51" s="150">
        <f t="shared" si="17"/>
      </c>
      <c r="J51" s="83">
        <f t="shared" si="18"/>
        <v>13.612499999999999</v>
      </c>
      <c r="K51" s="84">
        <f t="shared" si="19"/>
        <v>13.068</v>
      </c>
      <c r="L51" s="151">
        <f t="shared" si="20"/>
        <v>13.612499999999999</v>
      </c>
      <c r="M51" s="152">
        <f t="shared" si="21"/>
        <v>13.068</v>
      </c>
      <c r="N51" s="188">
        <f t="shared" si="22"/>
        <v>-0.039999999999999925</v>
      </c>
      <c r="O51" s="153">
        <f t="shared" si="23"/>
        <v>0</v>
      </c>
      <c r="P51" s="154">
        <f t="shared" si="24"/>
        <v>0</v>
      </c>
      <c r="Q51" s="176">
        <f t="shared" si="25"/>
      </c>
      <c r="R51" s="100">
        <f t="shared" si="26"/>
        <v>-0.5444999999999993</v>
      </c>
      <c r="S51" s="184">
        <f t="shared" si="27"/>
        <v>-0.03999999999999995</v>
      </c>
      <c r="U51" s="208" t="s">
        <v>96</v>
      </c>
      <c r="V51" s="4" t="s">
        <v>12</v>
      </c>
      <c r="X51" s="155"/>
      <c r="Y51" s="155">
        <v>62.5</v>
      </c>
      <c r="Z51" s="155">
        <v>62.5</v>
      </c>
      <c r="AA51" s="155"/>
      <c r="AB51" s="155"/>
      <c r="AC51" s="155"/>
      <c r="AD51" s="155"/>
      <c r="AE51" s="155"/>
      <c r="AF51" s="155"/>
      <c r="AG51" s="32">
        <f t="shared" si="28"/>
        <v>0</v>
      </c>
      <c r="AH51" s="32">
        <f t="shared" si="29"/>
        <v>62.5</v>
      </c>
      <c r="AI51" s="32">
        <f t="shared" si="30"/>
        <v>62.5</v>
      </c>
      <c r="AJ51" s="33"/>
      <c r="AK51" s="204"/>
      <c r="AL51" s="33">
        <v>4800</v>
      </c>
      <c r="AM51" s="204">
        <v>240000</v>
      </c>
      <c r="AN51" s="33"/>
      <c r="AO51" s="204">
        <v>250000</v>
      </c>
      <c r="AP51" s="67">
        <f t="shared" si="31"/>
        <v>0</v>
      </c>
      <c r="AQ51" s="34" t="str">
        <f t="shared" si="32"/>
        <v>Not Avail.</v>
      </c>
      <c r="AR51" s="67">
        <f t="shared" si="33"/>
        <v>240000</v>
      </c>
      <c r="AS51" s="34">
        <f t="shared" si="34"/>
        <v>104.16666666666667</v>
      </c>
      <c r="AT51" s="28">
        <f t="shared" si="35"/>
        <v>60</v>
      </c>
      <c r="AU51" s="28">
        <f t="shared" si="36"/>
      </c>
      <c r="AV51" s="28">
        <f t="shared" si="37"/>
        <v>60</v>
      </c>
      <c r="AW51" s="24">
        <f t="shared" si="38"/>
        <v>2.5</v>
      </c>
      <c r="AX51" s="24">
        <f t="shared" si="39"/>
      </c>
      <c r="AY51" s="24">
        <f t="shared" si="40"/>
        <v>2.5</v>
      </c>
      <c r="AZ51" s="156">
        <f t="shared" si="41"/>
        <v>52272</v>
      </c>
      <c r="BA51" s="35">
        <f t="shared" si="42"/>
        <v>0.209088</v>
      </c>
      <c r="BB51" s="35">
        <f t="shared" si="43"/>
        <v>13.068</v>
      </c>
      <c r="BC51" s="36">
        <f t="shared" si="44"/>
        <v>0</v>
      </c>
      <c r="BD51" s="36">
        <f t="shared" si="45"/>
        <v>13.068</v>
      </c>
      <c r="BE51" s="36" t="str">
        <f t="shared" si="46"/>
        <v>yes</v>
      </c>
      <c r="BF51" s="37">
        <f t="shared" si="47"/>
        <v>0.2178</v>
      </c>
      <c r="BG51" s="37">
        <f t="shared" si="48"/>
        <v>13.612499999999999</v>
      </c>
      <c r="BH51" s="36">
        <f t="shared" si="49"/>
        <v>0</v>
      </c>
      <c r="BI51" s="38">
        <f t="shared" si="50"/>
        <v>13.612499999999999</v>
      </c>
      <c r="BJ51" s="1" t="str">
        <f t="shared" si="51"/>
        <v>yes</v>
      </c>
      <c r="BK51" s="37">
        <f t="shared" si="52"/>
        <v>-0.5444999999999993</v>
      </c>
      <c r="BL51" s="37">
        <f t="shared" si="52"/>
      </c>
      <c r="BM51" s="7">
        <f t="shared" si="53"/>
        <v>-0.5444999999999993</v>
      </c>
      <c r="BN51" s="7">
        <f t="shared" si="54"/>
        <v>0</v>
      </c>
    </row>
    <row r="52" spans="2:66" ht="18" customHeight="1">
      <c r="B52" s="4" t="s">
        <v>12</v>
      </c>
      <c r="C52" s="4" t="s">
        <v>95</v>
      </c>
      <c r="D52" s="159" t="s">
        <v>191</v>
      </c>
      <c r="E52" s="158" t="s">
        <v>149</v>
      </c>
      <c r="F52" s="79">
        <f t="shared" si="14"/>
        <v>52272</v>
      </c>
      <c r="G52" s="80">
        <f t="shared" si="15"/>
        <v>40</v>
      </c>
      <c r="H52" s="149">
        <f t="shared" si="16"/>
        <v>4</v>
      </c>
      <c r="I52" s="150">
        <f t="shared" si="17"/>
        <v>67.5972</v>
      </c>
      <c r="J52" s="83">
        <f t="shared" si="18"/>
        <v>62.22744</v>
      </c>
      <c r="K52" s="84">
        <f t="shared" si="19"/>
        <v>58.66344</v>
      </c>
      <c r="L52" s="151">
        <f t="shared" si="20"/>
        <v>21.384</v>
      </c>
      <c r="M52" s="152">
        <f t="shared" si="21"/>
        <v>17.82</v>
      </c>
      <c r="N52" s="188">
        <f t="shared" si="22"/>
        <v>-0.16666666666666663</v>
      </c>
      <c r="O52" s="153">
        <f t="shared" si="23"/>
        <v>40.84344</v>
      </c>
      <c r="P52" s="154">
        <f t="shared" si="24"/>
        <v>40.84344</v>
      </c>
      <c r="Q52" s="176">
        <f t="shared" si="25"/>
        <v>0</v>
      </c>
      <c r="R52" s="100">
        <f t="shared" si="26"/>
        <v>-3.564</v>
      </c>
      <c r="S52" s="184">
        <f t="shared" si="27"/>
        <v>-0.0572737686139748</v>
      </c>
      <c r="U52" s="208" t="s">
        <v>95</v>
      </c>
      <c r="V52" s="4" t="s">
        <v>12</v>
      </c>
      <c r="X52" s="162">
        <v>120</v>
      </c>
      <c r="Y52" s="162">
        <v>90</v>
      </c>
      <c r="Z52" s="162">
        <v>75</v>
      </c>
      <c r="AA52" s="31">
        <v>164.5</v>
      </c>
      <c r="AB52" s="31"/>
      <c r="AC52" s="206">
        <v>171.9</v>
      </c>
      <c r="AD52" s="31"/>
      <c r="AE52" s="206">
        <v>171.9</v>
      </c>
      <c r="AF52" s="31"/>
      <c r="AG52" s="32">
        <f t="shared" si="28"/>
        <v>284.5</v>
      </c>
      <c r="AH52" s="32">
        <f t="shared" si="29"/>
        <v>261.9</v>
      </c>
      <c r="AI52" s="32">
        <f t="shared" si="30"/>
        <v>246.9</v>
      </c>
      <c r="AJ52" s="33"/>
      <c r="AK52" s="33">
        <v>220000</v>
      </c>
      <c r="AL52" s="33"/>
      <c r="AM52" s="33">
        <v>220000</v>
      </c>
      <c r="AN52" s="33"/>
      <c r="AO52" s="33">
        <v>220000</v>
      </c>
      <c r="AP52" s="67">
        <f t="shared" si="31"/>
        <v>220000</v>
      </c>
      <c r="AQ52" s="34">
        <f t="shared" si="32"/>
        <v>100</v>
      </c>
      <c r="AR52" s="67">
        <f t="shared" si="33"/>
        <v>220000</v>
      </c>
      <c r="AS52" s="34">
        <f t="shared" si="34"/>
        <v>100</v>
      </c>
      <c r="AT52" s="28">
        <f t="shared" si="35"/>
        <v>90</v>
      </c>
      <c r="AU52" s="28">
        <f t="shared" si="36"/>
        <v>171.9</v>
      </c>
      <c r="AV52" s="28">
        <f t="shared" si="37"/>
        <v>261.9</v>
      </c>
      <c r="AW52" s="24">
        <f t="shared" si="38"/>
        <v>-15</v>
      </c>
      <c r="AX52" s="24">
        <f t="shared" si="39"/>
        <v>0</v>
      </c>
      <c r="AY52" s="24">
        <f t="shared" si="40"/>
        <v>-14.999999999999972</v>
      </c>
      <c r="AZ52" s="156">
        <f t="shared" si="41"/>
        <v>52272</v>
      </c>
      <c r="BA52" s="35">
        <f t="shared" si="42"/>
        <v>0.2376</v>
      </c>
      <c r="BB52" s="35">
        <f t="shared" si="43"/>
        <v>17.82</v>
      </c>
      <c r="BC52" s="36">
        <f t="shared" si="44"/>
        <v>40.84344</v>
      </c>
      <c r="BD52" s="36">
        <f t="shared" si="45"/>
        <v>58.66344</v>
      </c>
      <c r="BE52" s="36" t="str">
        <f t="shared" si="46"/>
        <v>yes</v>
      </c>
      <c r="BF52" s="37">
        <f t="shared" si="47"/>
        <v>0.2376</v>
      </c>
      <c r="BG52" s="37">
        <f t="shared" si="48"/>
        <v>21.384</v>
      </c>
      <c r="BH52" s="36">
        <f t="shared" si="49"/>
        <v>40.84344</v>
      </c>
      <c r="BI52" s="38">
        <f t="shared" si="50"/>
        <v>62.22744</v>
      </c>
      <c r="BJ52" s="1" t="str">
        <f t="shared" si="51"/>
        <v>yes</v>
      </c>
      <c r="BK52" s="37">
        <f t="shared" si="52"/>
        <v>-3.564</v>
      </c>
      <c r="BL52" s="37">
        <f t="shared" si="52"/>
        <v>0</v>
      </c>
      <c r="BM52" s="7">
        <f t="shared" si="53"/>
        <v>-3.564</v>
      </c>
      <c r="BN52" s="7">
        <f t="shared" si="54"/>
        <v>0</v>
      </c>
    </row>
    <row r="53" spans="4:66" ht="18" customHeight="1">
      <c r="D53" s="157" t="s">
        <v>191</v>
      </c>
      <c r="E53" s="158" t="s">
        <v>232</v>
      </c>
      <c r="F53" s="79">
        <f t="shared" si="14"/>
        <v>52272</v>
      </c>
      <c r="G53" s="80">
        <f t="shared" si="15"/>
        <v>40</v>
      </c>
      <c r="H53" s="149">
        <f t="shared" si="16"/>
        <v>4</v>
      </c>
      <c r="I53" s="150">
        <f t="shared" si="17"/>
      </c>
      <c r="J53" s="83">
        <f t="shared" si="18"/>
        <v>14.520000000000001</v>
      </c>
      <c r="K53" s="84">
        <f t="shared" si="19"/>
        <v>14.066738428417654</v>
      </c>
      <c r="L53" s="151">
        <f t="shared" si="20"/>
        <v>14.520000000000001</v>
      </c>
      <c r="M53" s="152">
        <f t="shared" si="21"/>
        <v>14.066738428417654</v>
      </c>
      <c r="N53" s="188">
        <f t="shared" si="22"/>
        <v>-0.031216361679225035</v>
      </c>
      <c r="O53" s="153">
        <f t="shared" si="23"/>
        <v>0</v>
      </c>
      <c r="P53" s="154">
        <f t="shared" si="24"/>
        <v>0</v>
      </c>
      <c r="Q53" s="176">
        <f t="shared" si="25"/>
      </c>
      <c r="R53" s="100">
        <f t="shared" si="26"/>
        <v>-0.45326157158234714</v>
      </c>
      <c r="S53" s="184">
        <f t="shared" si="27"/>
        <v>-0.031216361679225008</v>
      </c>
      <c r="U53" s="208" t="s">
        <v>96</v>
      </c>
      <c r="V53" s="4" t="s">
        <v>12</v>
      </c>
      <c r="X53" s="155"/>
      <c r="Y53" s="155">
        <v>62.5</v>
      </c>
      <c r="Z53" s="155">
        <v>62.5</v>
      </c>
      <c r="AA53" s="155"/>
      <c r="AB53" s="155"/>
      <c r="AC53" s="155"/>
      <c r="AD53" s="155"/>
      <c r="AE53" s="155"/>
      <c r="AF53" s="155"/>
      <c r="AG53" s="32">
        <f t="shared" si="28"/>
        <v>0</v>
      </c>
      <c r="AH53" s="32">
        <f t="shared" si="29"/>
        <v>62.5</v>
      </c>
      <c r="AI53" s="32">
        <f t="shared" si="30"/>
        <v>62.5</v>
      </c>
      <c r="AJ53" s="33"/>
      <c r="AK53" s="204"/>
      <c r="AL53" s="33">
        <v>4500</v>
      </c>
      <c r="AM53" s="204">
        <v>225000</v>
      </c>
      <c r="AN53" s="33"/>
      <c r="AO53" s="204">
        <v>232250</v>
      </c>
      <c r="AP53" s="67">
        <f t="shared" si="31"/>
        <v>0</v>
      </c>
      <c r="AQ53" s="34" t="str">
        <f t="shared" si="32"/>
        <v>Not Avail.</v>
      </c>
      <c r="AR53" s="67">
        <f t="shared" si="33"/>
        <v>225000</v>
      </c>
      <c r="AS53" s="34">
        <f t="shared" si="34"/>
        <v>103.22222222222221</v>
      </c>
      <c r="AT53" s="28">
        <f t="shared" si="35"/>
        <v>60.54897739504844</v>
      </c>
      <c r="AU53" s="28">
        <f t="shared" si="36"/>
      </c>
      <c r="AV53" s="28">
        <f t="shared" si="37"/>
        <v>60.54897739504844</v>
      </c>
      <c r="AW53" s="24">
        <f t="shared" si="38"/>
        <v>1.9510226049515609</v>
      </c>
      <c r="AX53" s="24">
        <f t="shared" si="39"/>
      </c>
      <c r="AY53" s="24">
        <f t="shared" si="40"/>
        <v>1.9510226049515609</v>
      </c>
      <c r="AZ53" s="156">
        <f t="shared" si="41"/>
        <v>52272</v>
      </c>
      <c r="BA53" s="35">
        <f t="shared" si="42"/>
        <v>0.22506781485468244</v>
      </c>
      <c r="BB53" s="35">
        <f t="shared" si="43"/>
        <v>14.066738428417654</v>
      </c>
      <c r="BC53" s="36">
        <f t="shared" si="44"/>
        <v>0</v>
      </c>
      <c r="BD53" s="36">
        <f t="shared" si="45"/>
        <v>14.066738428417654</v>
      </c>
      <c r="BE53" s="36" t="str">
        <f t="shared" si="46"/>
        <v>yes</v>
      </c>
      <c r="BF53" s="37">
        <f t="shared" si="47"/>
        <v>0.23232</v>
      </c>
      <c r="BG53" s="37">
        <f t="shared" si="48"/>
        <v>14.520000000000001</v>
      </c>
      <c r="BH53" s="36">
        <f t="shared" si="49"/>
        <v>0</v>
      </c>
      <c r="BI53" s="38">
        <f t="shared" si="50"/>
        <v>14.520000000000001</v>
      </c>
      <c r="BJ53" s="1" t="str">
        <f t="shared" si="51"/>
        <v>yes</v>
      </c>
      <c r="BK53" s="37">
        <f t="shared" si="52"/>
        <v>-0.45326157158234714</v>
      </c>
      <c r="BL53" s="37">
        <f t="shared" si="52"/>
      </c>
      <c r="BM53" s="7">
        <f t="shared" si="53"/>
        <v>-0.45326157158234714</v>
      </c>
      <c r="BN53" s="7">
        <f t="shared" si="54"/>
        <v>0</v>
      </c>
    </row>
    <row r="54" spans="2:66" ht="18" customHeight="1">
      <c r="B54" s="4" t="s">
        <v>12</v>
      </c>
      <c r="C54" s="4" t="s">
        <v>97</v>
      </c>
      <c r="D54" s="159" t="s">
        <v>191</v>
      </c>
      <c r="E54" s="158" t="s">
        <v>87</v>
      </c>
      <c r="F54" s="79">
        <f t="shared" si="14"/>
        <v>52272</v>
      </c>
      <c r="G54" s="80">
        <f t="shared" si="15"/>
        <v>40</v>
      </c>
      <c r="H54" s="149">
        <f t="shared" si="16"/>
        <v>4</v>
      </c>
      <c r="I54" s="150">
        <f t="shared" si="17"/>
        <v>56.7864</v>
      </c>
      <c r="J54" s="83">
        <f t="shared" si="18"/>
        <v>52.41456000000001</v>
      </c>
      <c r="K54" s="84">
        <f t="shared" si="19"/>
        <v>52.41456000000001</v>
      </c>
      <c r="L54" s="151">
        <f t="shared" si="20"/>
        <v>20.196</v>
      </c>
      <c r="M54" s="152">
        <f t="shared" si="21"/>
        <v>20.196</v>
      </c>
      <c r="N54" s="188">
        <f t="shared" si="22"/>
        <v>0</v>
      </c>
      <c r="O54" s="153">
        <f t="shared" si="23"/>
        <v>32.218560000000004</v>
      </c>
      <c r="P54" s="154">
        <f t="shared" si="24"/>
        <v>32.218560000000004</v>
      </c>
      <c r="Q54" s="176">
        <f t="shared" si="25"/>
        <v>0</v>
      </c>
      <c r="R54" s="100">
        <f t="shared" si="26"/>
        <v>0</v>
      </c>
      <c r="S54" s="184">
        <f t="shared" si="27"/>
        <v>0</v>
      </c>
      <c r="U54" s="208" t="s">
        <v>97</v>
      </c>
      <c r="V54" s="4" t="s">
        <v>12</v>
      </c>
      <c r="X54" s="162">
        <v>113</v>
      </c>
      <c r="Y54" s="162">
        <v>85</v>
      </c>
      <c r="Z54" s="162">
        <v>85</v>
      </c>
      <c r="AA54" s="31">
        <v>126</v>
      </c>
      <c r="AB54" s="31"/>
      <c r="AC54" s="31">
        <v>135.6</v>
      </c>
      <c r="AD54" s="31"/>
      <c r="AE54" s="31">
        <v>135.6</v>
      </c>
      <c r="AF54" s="31"/>
      <c r="AG54" s="32">
        <f t="shared" si="28"/>
        <v>239</v>
      </c>
      <c r="AH54" s="32">
        <f t="shared" si="29"/>
        <v>220.6</v>
      </c>
      <c r="AI54" s="32">
        <f t="shared" si="30"/>
        <v>220.6</v>
      </c>
      <c r="AJ54" s="33"/>
      <c r="AK54" s="25">
        <v>220000</v>
      </c>
      <c r="AL54" s="33"/>
      <c r="AM54" s="25">
        <v>220000</v>
      </c>
      <c r="AN54" s="33"/>
      <c r="AO54" s="25">
        <v>220000</v>
      </c>
      <c r="AP54" s="67">
        <f t="shared" si="31"/>
        <v>220000</v>
      </c>
      <c r="AQ54" s="34">
        <f t="shared" si="32"/>
        <v>100</v>
      </c>
      <c r="AR54" s="67">
        <f t="shared" si="33"/>
        <v>220000</v>
      </c>
      <c r="AS54" s="34">
        <f t="shared" si="34"/>
        <v>100</v>
      </c>
      <c r="AT54" s="28">
        <f t="shared" si="35"/>
        <v>85</v>
      </c>
      <c r="AU54" s="28">
        <f t="shared" si="36"/>
        <v>135.6</v>
      </c>
      <c r="AV54" s="28">
        <f t="shared" si="37"/>
        <v>220.6</v>
      </c>
      <c r="AW54" s="24">
        <f t="shared" si="38"/>
        <v>0</v>
      </c>
      <c r="AX54" s="24">
        <f t="shared" si="39"/>
        <v>0</v>
      </c>
      <c r="AY54" s="24">
        <f t="shared" si="40"/>
        <v>0</v>
      </c>
      <c r="AZ54" s="156">
        <f t="shared" si="41"/>
        <v>52272</v>
      </c>
      <c r="BA54" s="35">
        <f t="shared" si="42"/>
        <v>0.2376</v>
      </c>
      <c r="BB54" s="35">
        <f t="shared" si="43"/>
        <v>20.196</v>
      </c>
      <c r="BC54" s="36">
        <f t="shared" si="44"/>
        <v>32.218560000000004</v>
      </c>
      <c r="BD54" s="36">
        <f t="shared" si="45"/>
        <v>52.41456000000001</v>
      </c>
      <c r="BE54" s="36" t="str">
        <f t="shared" si="46"/>
        <v>yes</v>
      </c>
      <c r="BF54" s="37">
        <f t="shared" si="47"/>
        <v>0.2376</v>
      </c>
      <c r="BG54" s="37">
        <f t="shared" si="48"/>
        <v>20.196</v>
      </c>
      <c r="BH54" s="36">
        <f t="shared" si="49"/>
        <v>32.218560000000004</v>
      </c>
      <c r="BI54" s="38">
        <f t="shared" si="50"/>
        <v>52.41456000000001</v>
      </c>
      <c r="BJ54" s="1" t="str">
        <f t="shared" si="51"/>
        <v>yes</v>
      </c>
      <c r="BK54" s="37">
        <f t="shared" si="52"/>
        <v>0</v>
      </c>
      <c r="BL54" s="37">
        <f t="shared" si="52"/>
        <v>0</v>
      </c>
      <c r="BM54" s="7">
        <f t="shared" si="53"/>
        <v>0</v>
      </c>
      <c r="BN54" s="7">
        <f t="shared" si="54"/>
        <v>0</v>
      </c>
    </row>
    <row r="55" spans="2:66" ht="18" customHeight="1">
      <c r="B55" s="4" t="s">
        <v>12</v>
      </c>
      <c r="C55" s="4" t="s">
        <v>97</v>
      </c>
      <c r="D55" s="159" t="s">
        <v>191</v>
      </c>
      <c r="E55" s="158" t="s">
        <v>10</v>
      </c>
      <c r="F55" s="79">
        <f t="shared" si="14"/>
        <v>52272</v>
      </c>
      <c r="G55" s="80">
        <f t="shared" si="15"/>
        <v>40</v>
      </c>
      <c r="H55" s="149">
        <f t="shared" si="16"/>
        <v>4</v>
      </c>
      <c r="I55" s="150">
        <f t="shared" si="17"/>
        <v>56.7864</v>
      </c>
      <c r="J55" s="83">
        <f t="shared" si="18"/>
        <v>57.879360000000005</v>
      </c>
      <c r="K55" s="84">
        <f t="shared" si="19"/>
        <v>57.879360000000005</v>
      </c>
      <c r="L55" s="151">
        <f t="shared" si="20"/>
        <v>25.660800000000002</v>
      </c>
      <c r="M55" s="152">
        <f t="shared" si="21"/>
        <v>25.660800000000002</v>
      </c>
      <c r="N55" s="188">
        <f t="shared" si="22"/>
        <v>0</v>
      </c>
      <c r="O55" s="153">
        <f t="shared" si="23"/>
        <v>32.218560000000004</v>
      </c>
      <c r="P55" s="154">
        <f t="shared" si="24"/>
        <v>32.218560000000004</v>
      </c>
      <c r="Q55" s="176">
        <f t="shared" si="25"/>
        <v>0</v>
      </c>
      <c r="R55" s="100">
        <f t="shared" si="26"/>
        <v>0</v>
      </c>
      <c r="S55" s="184">
        <f t="shared" si="27"/>
        <v>0</v>
      </c>
      <c r="U55" s="208" t="s">
        <v>97</v>
      </c>
      <c r="V55" s="4" t="s">
        <v>12</v>
      </c>
      <c r="X55" s="162">
        <v>113</v>
      </c>
      <c r="Y55" s="162">
        <v>108</v>
      </c>
      <c r="Z55" s="162">
        <v>108</v>
      </c>
      <c r="AA55" s="31">
        <v>126</v>
      </c>
      <c r="AB55" s="31"/>
      <c r="AC55" s="31">
        <v>135.6</v>
      </c>
      <c r="AD55" s="31"/>
      <c r="AE55" s="31">
        <v>135.6</v>
      </c>
      <c r="AF55" s="31"/>
      <c r="AG55" s="32">
        <f t="shared" si="28"/>
        <v>239</v>
      </c>
      <c r="AH55" s="32">
        <f t="shared" si="29"/>
        <v>243.6</v>
      </c>
      <c r="AI55" s="32">
        <f t="shared" si="30"/>
        <v>243.6</v>
      </c>
      <c r="AJ55" s="33"/>
      <c r="AK55" s="33">
        <v>220000</v>
      </c>
      <c r="AL55" s="33"/>
      <c r="AM55" s="33">
        <v>220000</v>
      </c>
      <c r="AN55" s="33"/>
      <c r="AO55" s="33">
        <v>220000</v>
      </c>
      <c r="AP55" s="67">
        <f t="shared" si="31"/>
        <v>220000</v>
      </c>
      <c r="AQ55" s="34">
        <f t="shared" si="32"/>
        <v>100</v>
      </c>
      <c r="AR55" s="67">
        <f t="shared" si="33"/>
        <v>220000</v>
      </c>
      <c r="AS55" s="34">
        <f t="shared" si="34"/>
        <v>100</v>
      </c>
      <c r="AT55" s="28">
        <f t="shared" si="35"/>
        <v>108</v>
      </c>
      <c r="AU55" s="28">
        <f t="shared" si="36"/>
        <v>135.6</v>
      </c>
      <c r="AV55" s="28">
        <f t="shared" si="37"/>
        <v>243.6</v>
      </c>
      <c r="AW55" s="24">
        <f t="shared" si="38"/>
        <v>0</v>
      </c>
      <c r="AX55" s="24">
        <f t="shared" si="39"/>
        <v>0</v>
      </c>
      <c r="AY55" s="24">
        <f t="shared" si="40"/>
        <v>0</v>
      </c>
      <c r="AZ55" s="156">
        <f t="shared" si="41"/>
        <v>52272</v>
      </c>
      <c r="BA55" s="35">
        <f t="shared" si="42"/>
        <v>0.2376</v>
      </c>
      <c r="BB55" s="35">
        <f t="shared" si="43"/>
        <v>25.660800000000002</v>
      </c>
      <c r="BC55" s="36">
        <f t="shared" si="44"/>
        <v>32.218560000000004</v>
      </c>
      <c r="BD55" s="36">
        <f t="shared" si="45"/>
        <v>57.879360000000005</v>
      </c>
      <c r="BE55" s="36" t="str">
        <f t="shared" si="46"/>
        <v>yes</v>
      </c>
      <c r="BF55" s="37">
        <f t="shared" si="47"/>
        <v>0.2376</v>
      </c>
      <c r="BG55" s="37">
        <f t="shared" si="48"/>
        <v>25.660800000000002</v>
      </c>
      <c r="BH55" s="36">
        <f t="shared" si="49"/>
        <v>32.218560000000004</v>
      </c>
      <c r="BI55" s="38">
        <f t="shared" si="50"/>
        <v>57.879360000000005</v>
      </c>
      <c r="BJ55" s="1" t="str">
        <f t="shared" si="51"/>
        <v>yes</v>
      </c>
      <c r="BK55" s="37">
        <f t="shared" si="52"/>
        <v>0</v>
      </c>
      <c r="BL55" s="37">
        <f t="shared" si="52"/>
        <v>0</v>
      </c>
      <c r="BM55" s="7">
        <f t="shared" si="53"/>
        <v>0</v>
      </c>
      <c r="BN55" s="7">
        <f t="shared" si="54"/>
        <v>0</v>
      </c>
    </row>
    <row r="56" spans="2:66" ht="18" customHeight="1">
      <c r="B56" s="4" t="s">
        <v>12</v>
      </c>
      <c r="C56" s="29" t="s">
        <v>95</v>
      </c>
      <c r="D56" s="159" t="s">
        <v>191</v>
      </c>
      <c r="E56" s="158" t="s">
        <v>123</v>
      </c>
      <c r="F56" s="79">
        <f t="shared" si="14"/>
        <v>52272</v>
      </c>
      <c r="G56" s="80">
        <f t="shared" si="15"/>
        <v>40</v>
      </c>
      <c r="H56" s="149">
        <f t="shared" si="16"/>
        <v>4</v>
      </c>
      <c r="I56" s="150">
        <f t="shared" si="17"/>
        <v>67.5972</v>
      </c>
      <c r="J56" s="83">
        <f t="shared" si="18"/>
        <v>68.16744</v>
      </c>
      <c r="K56" s="84">
        <f t="shared" si="19"/>
        <v>68.16744</v>
      </c>
      <c r="L56" s="151">
        <f t="shared" si="20"/>
        <v>27.324</v>
      </c>
      <c r="M56" s="152">
        <f t="shared" si="21"/>
        <v>27.324</v>
      </c>
      <c r="N56" s="188">
        <f t="shared" si="22"/>
        <v>0</v>
      </c>
      <c r="O56" s="153">
        <f t="shared" si="23"/>
        <v>40.84344</v>
      </c>
      <c r="P56" s="154">
        <f t="shared" si="24"/>
        <v>40.84344</v>
      </c>
      <c r="Q56" s="176">
        <f t="shared" si="25"/>
        <v>0</v>
      </c>
      <c r="R56" s="100">
        <f t="shared" si="26"/>
        <v>0</v>
      </c>
      <c r="S56" s="184">
        <f t="shared" si="27"/>
        <v>0</v>
      </c>
      <c r="U56" s="207" t="s">
        <v>95</v>
      </c>
      <c r="V56" s="4" t="s">
        <v>12</v>
      </c>
      <c r="X56" s="155">
        <v>120</v>
      </c>
      <c r="Y56" s="155">
        <v>115</v>
      </c>
      <c r="Z56" s="155">
        <v>115</v>
      </c>
      <c r="AA56" s="30">
        <v>164.5</v>
      </c>
      <c r="AB56" s="30"/>
      <c r="AC56" s="30">
        <v>171.9</v>
      </c>
      <c r="AD56" s="30"/>
      <c r="AE56" s="30">
        <v>171.9</v>
      </c>
      <c r="AF56" s="30"/>
      <c r="AG56" s="32">
        <f t="shared" si="28"/>
        <v>284.5</v>
      </c>
      <c r="AH56" s="32">
        <f t="shared" si="29"/>
        <v>286.9</v>
      </c>
      <c r="AI56" s="32">
        <f t="shared" si="30"/>
        <v>286.9</v>
      </c>
      <c r="AJ56" s="23"/>
      <c r="AK56" s="25">
        <v>220000</v>
      </c>
      <c r="AL56" s="23"/>
      <c r="AM56" s="25">
        <v>220000</v>
      </c>
      <c r="AN56" s="23"/>
      <c r="AO56" s="25">
        <v>220000</v>
      </c>
      <c r="AP56" s="67">
        <f t="shared" si="31"/>
        <v>220000</v>
      </c>
      <c r="AQ56" s="34">
        <f t="shared" si="32"/>
        <v>100</v>
      </c>
      <c r="AR56" s="67">
        <f t="shared" si="33"/>
        <v>220000</v>
      </c>
      <c r="AS56" s="34">
        <f t="shared" si="34"/>
        <v>100</v>
      </c>
      <c r="AT56" s="28">
        <f t="shared" si="35"/>
        <v>114.99999999999999</v>
      </c>
      <c r="AU56" s="28">
        <f t="shared" si="36"/>
        <v>171.9</v>
      </c>
      <c r="AV56" s="28">
        <f t="shared" si="37"/>
        <v>286.9</v>
      </c>
      <c r="AW56" s="24">
        <f t="shared" si="38"/>
        <v>1.4210854715202004E-14</v>
      </c>
      <c r="AX56" s="24">
        <f t="shared" si="39"/>
        <v>0</v>
      </c>
      <c r="AY56" s="24">
        <f t="shared" si="40"/>
        <v>0</v>
      </c>
      <c r="AZ56" s="156">
        <f t="shared" si="41"/>
        <v>52272</v>
      </c>
      <c r="BA56" s="35">
        <f t="shared" si="42"/>
        <v>0.2376</v>
      </c>
      <c r="BB56" s="35">
        <f t="shared" si="43"/>
        <v>27.324</v>
      </c>
      <c r="BC56" s="36">
        <f t="shared" si="44"/>
        <v>40.84344</v>
      </c>
      <c r="BD56" s="36">
        <f t="shared" si="45"/>
        <v>68.16744</v>
      </c>
      <c r="BE56" s="36" t="str">
        <f t="shared" si="46"/>
        <v>yes</v>
      </c>
      <c r="BF56" s="37">
        <f t="shared" si="47"/>
        <v>0.2376</v>
      </c>
      <c r="BG56" s="37">
        <f t="shared" si="48"/>
        <v>27.324</v>
      </c>
      <c r="BH56" s="36">
        <f t="shared" si="49"/>
        <v>40.84344</v>
      </c>
      <c r="BI56" s="38">
        <f t="shared" si="50"/>
        <v>68.16744</v>
      </c>
      <c r="BJ56" s="1" t="str">
        <f t="shared" si="51"/>
        <v>yes</v>
      </c>
      <c r="BK56" s="37">
        <f t="shared" si="52"/>
        <v>0</v>
      </c>
      <c r="BL56" s="37">
        <f t="shared" si="52"/>
        <v>0</v>
      </c>
      <c r="BM56" s="7">
        <f t="shared" si="53"/>
        <v>0</v>
      </c>
      <c r="BN56" s="7">
        <f t="shared" si="54"/>
        <v>0</v>
      </c>
    </row>
    <row r="57" spans="2:66" ht="18" customHeight="1">
      <c r="B57" s="4" t="s">
        <v>12</v>
      </c>
      <c r="C57" s="29" t="s">
        <v>95</v>
      </c>
      <c r="D57" s="159" t="s">
        <v>191</v>
      </c>
      <c r="E57" s="158" t="s">
        <v>122</v>
      </c>
      <c r="F57" s="79">
        <f t="shared" si="14"/>
        <v>52272</v>
      </c>
      <c r="G57" s="80">
        <f t="shared" si="15"/>
        <v>40</v>
      </c>
      <c r="H57" s="149">
        <f t="shared" si="16"/>
        <v>4</v>
      </c>
      <c r="I57" s="150">
        <f t="shared" si="17"/>
        <v>67.5972</v>
      </c>
      <c r="J57" s="83">
        <f t="shared" si="18"/>
        <v>68.16744</v>
      </c>
      <c r="K57" s="84">
        <f t="shared" si="19"/>
        <v>68.16744</v>
      </c>
      <c r="L57" s="151">
        <f t="shared" si="20"/>
        <v>27.324</v>
      </c>
      <c r="M57" s="152">
        <f t="shared" si="21"/>
        <v>27.324</v>
      </c>
      <c r="N57" s="188">
        <f t="shared" si="22"/>
        <v>0</v>
      </c>
      <c r="O57" s="153">
        <f t="shared" si="23"/>
        <v>40.84344</v>
      </c>
      <c r="P57" s="154">
        <f t="shared" si="24"/>
        <v>40.84344</v>
      </c>
      <c r="Q57" s="176">
        <f t="shared" si="25"/>
        <v>0</v>
      </c>
      <c r="R57" s="100">
        <f t="shared" si="26"/>
        <v>0</v>
      </c>
      <c r="S57" s="184">
        <f t="shared" si="27"/>
        <v>0</v>
      </c>
      <c r="U57" s="207" t="s">
        <v>95</v>
      </c>
      <c r="V57" s="4" t="s">
        <v>12</v>
      </c>
      <c r="X57" s="155">
        <v>120</v>
      </c>
      <c r="Y57" s="155">
        <v>115</v>
      </c>
      <c r="Z57" s="155">
        <v>115</v>
      </c>
      <c r="AA57" s="30">
        <v>164.5</v>
      </c>
      <c r="AB57" s="30"/>
      <c r="AC57" s="206">
        <v>171.9</v>
      </c>
      <c r="AD57" s="30"/>
      <c r="AE57" s="206">
        <v>171.9</v>
      </c>
      <c r="AF57" s="30"/>
      <c r="AG57" s="32">
        <f t="shared" si="28"/>
        <v>284.5</v>
      </c>
      <c r="AH57" s="32">
        <f t="shared" si="29"/>
        <v>286.9</v>
      </c>
      <c r="AI57" s="32">
        <f t="shared" si="30"/>
        <v>286.9</v>
      </c>
      <c r="AJ57" s="23"/>
      <c r="AK57" s="25">
        <v>220000</v>
      </c>
      <c r="AL57" s="23"/>
      <c r="AM57" s="25">
        <v>220000</v>
      </c>
      <c r="AN57" s="23"/>
      <c r="AO57" s="25">
        <v>220000</v>
      </c>
      <c r="AP57" s="67">
        <f t="shared" si="31"/>
        <v>220000</v>
      </c>
      <c r="AQ57" s="34">
        <f t="shared" si="32"/>
        <v>100</v>
      </c>
      <c r="AR57" s="67">
        <f t="shared" si="33"/>
        <v>220000</v>
      </c>
      <c r="AS57" s="34">
        <f t="shared" si="34"/>
        <v>100</v>
      </c>
      <c r="AT57" s="28">
        <f t="shared" si="35"/>
        <v>114.99999999999999</v>
      </c>
      <c r="AU57" s="28">
        <f t="shared" si="36"/>
        <v>171.9</v>
      </c>
      <c r="AV57" s="28">
        <f t="shared" si="37"/>
        <v>286.9</v>
      </c>
      <c r="AW57" s="24">
        <f t="shared" si="38"/>
        <v>1.4210854715202004E-14</v>
      </c>
      <c r="AX57" s="24">
        <f t="shared" si="39"/>
        <v>0</v>
      </c>
      <c r="AY57" s="24">
        <f t="shared" si="40"/>
        <v>0</v>
      </c>
      <c r="AZ57" s="156">
        <f t="shared" si="41"/>
        <v>52272</v>
      </c>
      <c r="BA57" s="35">
        <f t="shared" si="42"/>
        <v>0.2376</v>
      </c>
      <c r="BB57" s="35">
        <f t="shared" si="43"/>
        <v>27.324</v>
      </c>
      <c r="BC57" s="36">
        <f t="shared" si="44"/>
        <v>40.84344</v>
      </c>
      <c r="BD57" s="36">
        <f t="shared" si="45"/>
        <v>68.16744</v>
      </c>
      <c r="BE57" s="36" t="str">
        <f t="shared" si="46"/>
        <v>yes</v>
      </c>
      <c r="BF57" s="37">
        <f t="shared" si="47"/>
        <v>0.2376</v>
      </c>
      <c r="BG57" s="37">
        <f t="shared" si="48"/>
        <v>27.324</v>
      </c>
      <c r="BH57" s="36">
        <f t="shared" si="49"/>
        <v>40.84344</v>
      </c>
      <c r="BI57" s="38">
        <f t="shared" si="50"/>
        <v>68.16744</v>
      </c>
      <c r="BJ57" s="1" t="str">
        <f t="shared" si="51"/>
        <v>yes</v>
      </c>
      <c r="BK57" s="37">
        <f t="shared" si="52"/>
        <v>0</v>
      </c>
      <c r="BL57" s="37">
        <f t="shared" si="52"/>
        <v>0</v>
      </c>
      <c r="BM57" s="7">
        <f t="shared" si="53"/>
        <v>0</v>
      </c>
      <c r="BN57" s="7">
        <f t="shared" si="54"/>
        <v>0</v>
      </c>
    </row>
    <row r="58" spans="2:66" ht="18" customHeight="1">
      <c r="B58" s="4" t="s">
        <v>12</v>
      </c>
      <c r="C58" s="4" t="s">
        <v>96</v>
      </c>
      <c r="D58" s="157" t="s">
        <v>191</v>
      </c>
      <c r="E58" s="158" t="s">
        <v>183</v>
      </c>
      <c r="F58" s="79">
        <f t="shared" si="14"/>
        <v>52272</v>
      </c>
      <c r="G58" s="80">
        <f t="shared" si="15"/>
        <v>40</v>
      </c>
      <c r="H58" s="149">
        <f t="shared" si="16"/>
        <v>4</v>
      </c>
      <c r="I58" s="150">
        <f t="shared" si="17"/>
        <v>10.4544</v>
      </c>
      <c r="J58" s="83">
        <f t="shared" si="18"/>
        <v>11.499839999999999</v>
      </c>
      <c r="K58" s="84">
        <f t="shared" si="19"/>
        <v>11.499839999999999</v>
      </c>
      <c r="L58" s="151">
        <f t="shared" si="20"/>
        <v>11.499839999999999</v>
      </c>
      <c r="M58" s="152">
        <f t="shared" si="21"/>
        <v>11.499839999999999</v>
      </c>
      <c r="N58" s="188">
        <f t="shared" si="22"/>
        <v>0</v>
      </c>
      <c r="O58" s="153">
        <f t="shared" si="23"/>
        <v>0</v>
      </c>
      <c r="P58" s="154">
        <f t="shared" si="24"/>
        <v>0</v>
      </c>
      <c r="Q58" s="176">
        <f t="shared" si="25"/>
      </c>
      <c r="R58" s="100">
        <f t="shared" si="26"/>
        <v>0</v>
      </c>
      <c r="S58" s="184">
        <f t="shared" si="27"/>
        <v>0</v>
      </c>
      <c r="U58" s="208" t="s">
        <v>96</v>
      </c>
      <c r="V58" s="4" t="s">
        <v>12</v>
      </c>
      <c r="X58" s="155">
        <v>50</v>
      </c>
      <c r="Y58" s="155">
        <v>55</v>
      </c>
      <c r="Z58" s="155">
        <v>55</v>
      </c>
      <c r="AA58" s="155"/>
      <c r="AB58" s="155"/>
      <c r="AC58" s="155"/>
      <c r="AD58" s="155"/>
      <c r="AE58" s="155"/>
      <c r="AF58" s="155"/>
      <c r="AG58" s="32">
        <f t="shared" si="28"/>
        <v>50</v>
      </c>
      <c r="AH58" s="32">
        <f t="shared" si="29"/>
        <v>55</v>
      </c>
      <c r="AI58" s="32">
        <f t="shared" si="30"/>
        <v>55</v>
      </c>
      <c r="AJ58" s="33"/>
      <c r="AK58" s="204">
        <v>250000</v>
      </c>
      <c r="AL58" s="33"/>
      <c r="AM58" s="204">
        <v>250000</v>
      </c>
      <c r="AN58" s="33"/>
      <c r="AO58" s="204">
        <v>250000</v>
      </c>
      <c r="AP58" s="67">
        <f t="shared" si="31"/>
        <v>250000</v>
      </c>
      <c r="AQ58" s="34">
        <f t="shared" si="32"/>
        <v>100</v>
      </c>
      <c r="AR58" s="67">
        <f t="shared" si="33"/>
        <v>250000</v>
      </c>
      <c r="AS58" s="34">
        <f t="shared" si="34"/>
        <v>100</v>
      </c>
      <c r="AT58" s="28">
        <f t="shared" si="35"/>
        <v>55.00000000000001</v>
      </c>
      <c r="AU58" s="28">
        <f t="shared" si="36"/>
      </c>
      <c r="AV58" s="28">
        <f t="shared" si="37"/>
        <v>55.00000000000001</v>
      </c>
      <c r="AW58" s="24">
        <f t="shared" si="38"/>
        <v>-7.105427357601002E-15</v>
      </c>
      <c r="AX58" s="24">
        <f t="shared" si="39"/>
      </c>
      <c r="AY58" s="24">
        <f t="shared" si="40"/>
        <v>-7.105427357601002E-15</v>
      </c>
      <c r="AZ58" s="156">
        <f t="shared" si="41"/>
        <v>52272</v>
      </c>
      <c r="BA58" s="35">
        <f t="shared" si="42"/>
        <v>0.209088</v>
      </c>
      <c r="BB58" s="35">
        <f t="shared" si="43"/>
        <v>11.499839999999999</v>
      </c>
      <c r="BC58" s="36">
        <f t="shared" si="44"/>
        <v>0</v>
      </c>
      <c r="BD58" s="36">
        <f t="shared" si="45"/>
        <v>11.499839999999999</v>
      </c>
      <c r="BE58" s="36" t="str">
        <f t="shared" si="46"/>
        <v>yes</v>
      </c>
      <c r="BF58" s="37">
        <f t="shared" si="47"/>
        <v>0.209088</v>
      </c>
      <c r="BG58" s="37">
        <f t="shared" si="48"/>
        <v>11.499839999999999</v>
      </c>
      <c r="BH58" s="36">
        <f t="shared" si="49"/>
        <v>0</v>
      </c>
      <c r="BI58" s="38">
        <f t="shared" si="50"/>
        <v>11.499839999999999</v>
      </c>
      <c r="BJ58" s="1" t="str">
        <f t="shared" si="51"/>
        <v>yes</v>
      </c>
      <c r="BK58" s="37">
        <f t="shared" si="52"/>
        <v>0</v>
      </c>
      <c r="BL58" s="37">
        <f t="shared" si="52"/>
      </c>
      <c r="BM58" s="7">
        <f t="shared" si="53"/>
        <v>0</v>
      </c>
      <c r="BN58" s="7">
        <f t="shared" si="54"/>
        <v>0</v>
      </c>
    </row>
    <row r="59" spans="2:66" ht="18" customHeight="1">
      <c r="B59" s="4" t="s">
        <v>13</v>
      </c>
      <c r="C59" s="4" t="s">
        <v>96</v>
      </c>
      <c r="D59" s="157" t="s">
        <v>191</v>
      </c>
      <c r="E59" s="158" t="s">
        <v>30</v>
      </c>
      <c r="F59" s="79">
        <f t="shared" si="14"/>
        <v>52272</v>
      </c>
      <c r="G59" s="80">
        <f t="shared" si="15"/>
        <v>40</v>
      </c>
      <c r="H59" s="149">
        <f t="shared" si="16"/>
        <v>4</v>
      </c>
      <c r="I59" s="150">
        <f t="shared" si="17"/>
        <v>10.940651162790697</v>
      </c>
      <c r="J59" s="83">
        <f t="shared" si="18"/>
        <v>10.940651162790699</v>
      </c>
      <c r="K59" s="84">
        <f t="shared" si="19"/>
        <v>10.940651162790699</v>
      </c>
      <c r="L59" s="151">
        <f t="shared" si="20"/>
        <v>10.940651162790699</v>
      </c>
      <c r="M59" s="152">
        <f t="shared" si="21"/>
        <v>10.940651162790699</v>
      </c>
      <c r="N59" s="188">
        <f t="shared" si="22"/>
        <v>0</v>
      </c>
      <c r="O59" s="153">
        <f t="shared" si="23"/>
        <v>0</v>
      </c>
      <c r="P59" s="154">
        <f t="shared" si="24"/>
        <v>0</v>
      </c>
      <c r="Q59" s="176">
        <f t="shared" si="25"/>
      </c>
      <c r="R59" s="100">
        <f t="shared" si="26"/>
        <v>0</v>
      </c>
      <c r="S59" s="184">
        <f t="shared" si="27"/>
        <v>0</v>
      </c>
      <c r="U59" s="208" t="s">
        <v>96</v>
      </c>
      <c r="V59" s="4" t="s">
        <v>13</v>
      </c>
      <c r="X59" s="32">
        <v>45</v>
      </c>
      <c r="Y59" s="32">
        <v>45</v>
      </c>
      <c r="Z59" s="32">
        <v>45</v>
      </c>
      <c r="AA59" s="32"/>
      <c r="AB59" s="32"/>
      <c r="AC59" s="32"/>
      <c r="AD59" s="32"/>
      <c r="AE59" s="32"/>
      <c r="AF59" s="32"/>
      <c r="AG59" s="32">
        <f t="shared" si="28"/>
        <v>45</v>
      </c>
      <c r="AH59" s="32">
        <f t="shared" si="29"/>
        <v>45</v>
      </c>
      <c r="AI59" s="32">
        <f t="shared" si="30"/>
        <v>45</v>
      </c>
      <c r="AJ59" s="33"/>
      <c r="AK59" s="204">
        <v>215000</v>
      </c>
      <c r="AL59" s="33"/>
      <c r="AM59" s="204">
        <v>215000</v>
      </c>
      <c r="AN59" s="33"/>
      <c r="AO59" s="204">
        <v>215000</v>
      </c>
      <c r="AP59" s="67">
        <f t="shared" si="31"/>
        <v>215000</v>
      </c>
      <c r="AQ59" s="34">
        <f t="shared" si="32"/>
        <v>100</v>
      </c>
      <c r="AR59" s="67">
        <f t="shared" si="33"/>
        <v>215000</v>
      </c>
      <c r="AS59" s="34">
        <f t="shared" si="34"/>
        <v>100</v>
      </c>
      <c r="AT59" s="28">
        <f t="shared" si="35"/>
        <v>45</v>
      </c>
      <c r="AU59" s="28">
        <f t="shared" si="36"/>
      </c>
      <c r="AV59" s="28">
        <f t="shared" si="37"/>
        <v>45</v>
      </c>
      <c r="AW59" s="24">
        <f t="shared" si="38"/>
        <v>0</v>
      </c>
      <c r="AX59" s="24">
        <f t="shared" si="39"/>
      </c>
      <c r="AY59" s="24">
        <f t="shared" si="40"/>
        <v>0</v>
      </c>
      <c r="AZ59" s="156">
        <f t="shared" si="41"/>
        <v>52272</v>
      </c>
      <c r="BA59" s="35">
        <f t="shared" si="42"/>
        <v>0.24312558139534884</v>
      </c>
      <c r="BB59" s="35">
        <f t="shared" si="43"/>
        <v>10.940651162790699</v>
      </c>
      <c r="BC59" s="36">
        <f t="shared" si="44"/>
        <v>0</v>
      </c>
      <c r="BD59" s="36">
        <f t="shared" si="45"/>
        <v>10.940651162790699</v>
      </c>
      <c r="BE59" s="36" t="str">
        <f t="shared" si="46"/>
        <v>yes</v>
      </c>
      <c r="BF59" s="37">
        <f t="shared" si="47"/>
        <v>0.24312558139534884</v>
      </c>
      <c r="BG59" s="37">
        <f t="shared" si="48"/>
        <v>10.940651162790699</v>
      </c>
      <c r="BH59" s="36">
        <f t="shared" si="49"/>
        <v>0</v>
      </c>
      <c r="BI59" s="38">
        <f t="shared" si="50"/>
        <v>10.940651162790699</v>
      </c>
      <c r="BJ59" s="1" t="str">
        <f t="shared" si="51"/>
        <v>yes</v>
      </c>
      <c r="BK59" s="37">
        <f t="shared" si="52"/>
        <v>0</v>
      </c>
      <c r="BL59" s="37">
        <f t="shared" si="52"/>
      </c>
      <c r="BM59" s="7">
        <f t="shared" si="53"/>
        <v>0</v>
      </c>
      <c r="BN59" s="7">
        <f t="shared" si="54"/>
        <v>0</v>
      </c>
    </row>
    <row r="60" spans="2:66" ht="18" customHeight="1">
      <c r="B60" s="4" t="s">
        <v>12</v>
      </c>
      <c r="C60" s="29" t="s">
        <v>95</v>
      </c>
      <c r="D60" s="157" t="s">
        <v>69</v>
      </c>
      <c r="E60" s="158" t="s">
        <v>72</v>
      </c>
      <c r="F60" s="79">
        <f t="shared" si="14"/>
        <v>52272</v>
      </c>
      <c r="G60" s="80">
        <f t="shared" si="15"/>
        <v>40</v>
      </c>
      <c r="H60" s="149">
        <f t="shared" si="16"/>
        <v>4</v>
      </c>
      <c r="I60" s="150">
        <f t="shared" si="17"/>
        <v>68.15814260869564</v>
      </c>
      <c r="J60" s="83">
        <f t="shared" si="18"/>
        <v>65.40818086956523</v>
      </c>
      <c r="K60" s="84">
        <f t="shared" si="19"/>
        <v>65.40818086956523</v>
      </c>
      <c r="L60" s="151">
        <f t="shared" si="20"/>
        <v>24.545113043478263</v>
      </c>
      <c r="M60" s="152">
        <f t="shared" si="21"/>
        <v>24.545113043478263</v>
      </c>
      <c r="N60" s="188">
        <f t="shared" si="22"/>
        <v>0</v>
      </c>
      <c r="O60" s="153">
        <f t="shared" si="23"/>
        <v>40.86306782608696</v>
      </c>
      <c r="P60" s="154">
        <f t="shared" si="24"/>
        <v>40.86306782608696</v>
      </c>
      <c r="Q60" s="176">
        <f t="shared" si="25"/>
        <v>0</v>
      </c>
      <c r="R60" s="100">
        <f t="shared" si="26"/>
        <v>0</v>
      </c>
      <c r="S60" s="184">
        <f t="shared" si="27"/>
        <v>0</v>
      </c>
      <c r="U60" s="207" t="s">
        <v>95</v>
      </c>
      <c r="V60" s="4" t="s">
        <v>12</v>
      </c>
      <c r="X60" s="155">
        <v>128</v>
      </c>
      <c r="Y60" s="155">
        <v>108</v>
      </c>
      <c r="Z60" s="155">
        <v>108</v>
      </c>
      <c r="AA60" s="32">
        <v>171.9</v>
      </c>
      <c r="AB60" s="155"/>
      <c r="AC60" s="32">
        <v>179.8</v>
      </c>
      <c r="AD60" s="155"/>
      <c r="AE60" s="32">
        <v>179.8</v>
      </c>
      <c r="AF60" s="155"/>
      <c r="AG60" s="32">
        <f t="shared" si="28"/>
        <v>299.9</v>
      </c>
      <c r="AH60" s="32">
        <f t="shared" si="29"/>
        <v>287.8</v>
      </c>
      <c r="AI60" s="32">
        <f t="shared" si="30"/>
        <v>287.8</v>
      </c>
      <c r="AJ60" s="23"/>
      <c r="AK60" s="33">
        <v>230000</v>
      </c>
      <c r="AL60" s="23"/>
      <c r="AM60" s="33">
        <v>230000</v>
      </c>
      <c r="AN60" s="23"/>
      <c r="AO60" s="33">
        <v>230000</v>
      </c>
      <c r="AP60" s="67">
        <f t="shared" si="31"/>
        <v>230000</v>
      </c>
      <c r="AQ60" s="34">
        <f t="shared" si="32"/>
        <v>100</v>
      </c>
      <c r="AR60" s="67">
        <f t="shared" si="33"/>
        <v>230000</v>
      </c>
      <c r="AS60" s="34">
        <f t="shared" si="34"/>
        <v>100</v>
      </c>
      <c r="AT60" s="28">
        <f t="shared" si="35"/>
        <v>108</v>
      </c>
      <c r="AU60" s="28">
        <f t="shared" si="36"/>
        <v>179.8</v>
      </c>
      <c r="AV60" s="28">
        <f t="shared" si="37"/>
        <v>287.8</v>
      </c>
      <c r="AW60" s="24">
        <f t="shared" si="38"/>
        <v>0</v>
      </c>
      <c r="AX60" s="24">
        <f t="shared" si="39"/>
        <v>0</v>
      </c>
      <c r="AY60" s="24">
        <f t="shared" si="40"/>
        <v>0</v>
      </c>
      <c r="AZ60" s="156">
        <f t="shared" si="41"/>
        <v>52272</v>
      </c>
      <c r="BA60" s="35">
        <f t="shared" si="42"/>
        <v>0.2272695652173913</v>
      </c>
      <c r="BB60" s="35">
        <f t="shared" si="43"/>
        <v>24.545113043478263</v>
      </c>
      <c r="BC60" s="36">
        <f t="shared" si="44"/>
        <v>40.86306782608696</v>
      </c>
      <c r="BD60" s="36">
        <f t="shared" si="45"/>
        <v>65.40818086956523</v>
      </c>
      <c r="BE60" s="36" t="str">
        <f t="shared" si="46"/>
        <v>yes</v>
      </c>
      <c r="BF60" s="37">
        <f t="shared" si="47"/>
        <v>0.2272695652173913</v>
      </c>
      <c r="BG60" s="37">
        <f t="shared" si="48"/>
        <v>24.545113043478263</v>
      </c>
      <c r="BH60" s="36">
        <f t="shared" si="49"/>
        <v>40.86306782608696</v>
      </c>
      <c r="BI60" s="38">
        <f t="shared" si="50"/>
        <v>65.40818086956523</v>
      </c>
      <c r="BJ60" s="1" t="str">
        <f t="shared" si="51"/>
        <v>yes</v>
      </c>
      <c r="BK60" s="37">
        <f t="shared" si="52"/>
        <v>0</v>
      </c>
      <c r="BL60" s="37">
        <f t="shared" si="52"/>
        <v>0</v>
      </c>
      <c r="BM60" s="7">
        <f t="shared" si="53"/>
        <v>0</v>
      </c>
      <c r="BN60" s="7">
        <f t="shared" si="54"/>
        <v>0</v>
      </c>
    </row>
    <row r="61" spans="2:66" ht="18" customHeight="1">
      <c r="B61" s="4" t="s">
        <v>12</v>
      </c>
      <c r="C61" s="4" t="s">
        <v>95</v>
      </c>
      <c r="D61" s="157" t="s">
        <v>69</v>
      </c>
      <c r="E61" s="158" t="s">
        <v>73</v>
      </c>
      <c r="F61" s="79">
        <f t="shared" si="14"/>
        <v>52272</v>
      </c>
      <c r="G61" s="80">
        <f t="shared" si="15"/>
        <v>40</v>
      </c>
      <c r="H61" s="149">
        <f t="shared" si="16"/>
        <v>4</v>
      </c>
      <c r="I61" s="150">
        <f t="shared" si="17"/>
        <v>68.15814260869564</v>
      </c>
      <c r="J61" s="83">
        <f t="shared" si="18"/>
        <v>65.40818086956523</v>
      </c>
      <c r="K61" s="84">
        <f t="shared" si="19"/>
        <v>65.40818086956523</v>
      </c>
      <c r="L61" s="151">
        <f t="shared" si="20"/>
        <v>24.545113043478263</v>
      </c>
      <c r="M61" s="152">
        <f t="shared" si="21"/>
        <v>24.545113043478263</v>
      </c>
      <c r="N61" s="188">
        <f t="shared" si="22"/>
        <v>0</v>
      </c>
      <c r="O61" s="153">
        <f t="shared" si="23"/>
        <v>40.86306782608696</v>
      </c>
      <c r="P61" s="154">
        <f t="shared" si="24"/>
        <v>40.86306782608696</v>
      </c>
      <c r="Q61" s="176">
        <f t="shared" si="25"/>
        <v>0</v>
      </c>
      <c r="R61" s="100">
        <f t="shared" si="26"/>
        <v>0</v>
      </c>
      <c r="S61" s="184">
        <f t="shared" si="27"/>
        <v>0</v>
      </c>
      <c r="U61" s="208" t="s">
        <v>95</v>
      </c>
      <c r="V61" s="4" t="s">
        <v>12</v>
      </c>
      <c r="X61" s="32">
        <v>128</v>
      </c>
      <c r="Y61" s="32">
        <v>108</v>
      </c>
      <c r="Z61" s="32">
        <v>108</v>
      </c>
      <c r="AA61" s="32">
        <v>171.9</v>
      </c>
      <c r="AB61" s="32"/>
      <c r="AC61" s="32">
        <v>179.8</v>
      </c>
      <c r="AD61" s="32"/>
      <c r="AE61" s="32">
        <v>179.8</v>
      </c>
      <c r="AF61" s="32"/>
      <c r="AG61" s="32">
        <f t="shared" si="28"/>
        <v>299.9</v>
      </c>
      <c r="AH61" s="32">
        <f t="shared" si="29"/>
        <v>287.8</v>
      </c>
      <c r="AI61" s="32">
        <f t="shared" si="30"/>
        <v>287.8</v>
      </c>
      <c r="AJ61" s="33"/>
      <c r="AK61" s="33">
        <v>230000</v>
      </c>
      <c r="AL61" s="33"/>
      <c r="AM61" s="33">
        <v>230000</v>
      </c>
      <c r="AN61" s="33"/>
      <c r="AO61" s="33">
        <v>230000</v>
      </c>
      <c r="AP61" s="67">
        <f t="shared" si="31"/>
        <v>230000</v>
      </c>
      <c r="AQ61" s="34">
        <f t="shared" si="32"/>
        <v>100</v>
      </c>
      <c r="AR61" s="67">
        <f t="shared" si="33"/>
        <v>230000</v>
      </c>
      <c r="AS61" s="34">
        <f t="shared" si="34"/>
        <v>100</v>
      </c>
      <c r="AT61" s="28">
        <f t="shared" si="35"/>
        <v>108</v>
      </c>
      <c r="AU61" s="28">
        <f t="shared" si="36"/>
        <v>179.8</v>
      </c>
      <c r="AV61" s="28">
        <f t="shared" si="37"/>
        <v>287.8</v>
      </c>
      <c r="AW61" s="24">
        <f t="shared" si="38"/>
        <v>0</v>
      </c>
      <c r="AX61" s="24">
        <f t="shared" si="39"/>
        <v>0</v>
      </c>
      <c r="AY61" s="24">
        <f t="shared" si="40"/>
        <v>0</v>
      </c>
      <c r="AZ61" s="156">
        <f t="shared" si="41"/>
        <v>52272</v>
      </c>
      <c r="BA61" s="35">
        <f t="shared" si="42"/>
        <v>0.2272695652173913</v>
      </c>
      <c r="BB61" s="35">
        <f t="shared" si="43"/>
        <v>24.545113043478263</v>
      </c>
      <c r="BC61" s="36">
        <f t="shared" si="44"/>
        <v>40.86306782608696</v>
      </c>
      <c r="BD61" s="36">
        <f t="shared" si="45"/>
        <v>65.40818086956523</v>
      </c>
      <c r="BE61" s="36" t="str">
        <f t="shared" si="46"/>
        <v>yes</v>
      </c>
      <c r="BF61" s="37">
        <f t="shared" si="47"/>
        <v>0.2272695652173913</v>
      </c>
      <c r="BG61" s="37">
        <f t="shared" si="48"/>
        <v>24.545113043478263</v>
      </c>
      <c r="BH61" s="36">
        <f t="shared" si="49"/>
        <v>40.86306782608696</v>
      </c>
      <c r="BI61" s="38">
        <f t="shared" si="50"/>
        <v>65.40818086956523</v>
      </c>
      <c r="BJ61" s="1" t="str">
        <f t="shared" si="51"/>
        <v>yes</v>
      </c>
      <c r="BK61" s="37">
        <f t="shared" si="52"/>
        <v>0</v>
      </c>
      <c r="BL61" s="37">
        <f t="shared" si="52"/>
        <v>0</v>
      </c>
      <c r="BM61" s="7">
        <f t="shared" si="53"/>
        <v>0</v>
      </c>
      <c r="BN61" s="7">
        <f t="shared" si="54"/>
        <v>0</v>
      </c>
    </row>
    <row r="62" spans="2:66" ht="18" customHeight="1">
      <c r="B62" s="4" t="s">
        <v>12</v>
      </c>
      <c r="C62" s="4" t="s">
        <v>95</v>
      </c>
      <c r="D62" s="157" t="s">
        <v>69</v>
      </c>
      <c r="E62" s="158" t="s">
        <v>17</v>
      </c>
      <c r="F62" s="79">
        <f t="shared" si="14"/>
        <v>52272</v>
      </c>
      <c r="G62" s="80">
        <f t="shared" si="15"/>
        <v>40</v>
      </c>
      <c r="H62" s="149">
        <f t="shared" si="16"/>
        <v>4</v>
      </c>
      <c r="I62" s="150">
        <f t="shared" si="17"/>
        <v>68.15814260869564</v>
      </c>
      <c r="J62" s="83">
        <f t="shared" si="18"/>
        <v>69.95357217391305</v>
      </c>
      <c r="K62" s="84">
        <f t="shared" si="19"/>
        <v>69.95357217391305</v>
      </c>
      <c r="L62" s="151">
        <f t="shared" si="20"/>
        <v>29.09050434782609</v>
      </c>
      <c r="M62" s="152">
        <f t="shared" si="21"/>
        <v>29.09050434782609</v>
      </c>
      <c r="N62" s="188">
        <f t="shared" si="22"/>
        <v>0</v>
      </c>
      <c r="O62" s="153">
        <f t="shared" si="23"/>
        <v>40.86306782608696</v>
      </c>
      <c r="P62" s="154">
        <f t="shared" si="24"/>
        <v>40.86306782608696</v>
      </c>
      <c r="Q62" s="176">
        <f t="shared" si="25"/>
        <v>0</v>
      </c>
      <c r="R62" s="100">
        <f t="shared" si="26"/>
        <v>0</v>
      </c>
      <c r="S62" s="184">
        <f t="shared" si="27"/>
        <v>0</v>
      </c>
      <c r="U62" s="208" t="s">
        <v>95</v>
      </c>
      <c r="V62" s="4" t="s">
        <v>12</v>
      </c>
      <c r="X62" s="32">
        <v>128</v>
      </c>
      <c r="Y62" s="32">
        <v>128</v>
      </c>
      <c r="Z62" s="32">
        <v>128</v>
      </c>
      <c r="AA62" s="32">
        <v>171.9</v>
      </c>
      <c r="AB62" s="32"/>
      <c r="AC62" s="32">
        <v>179.8</v>
      </c>
      <c r="AD62" s="32"/>
      <c r="AE62" s="32">
        <v>179.8</v>
      </c>
      <c r="AF62" s="32"/>
      <c r="AG62" s="32">
        <f t="shared" si="28"/>
        <v>299.9</v>
      </c>
      <c r="AH62" s="32">
        <f t="shared" si="29"/>
        <v>307.8</v>
      </c>
      <c r="AI62" s="32">
        <f t="shared" si="30"/>
        <v>307.8</v>
      </c>
      <c r="AJ62" s="33"/>
      <c r="AK62" s="33">
        <v>230000</v>
      </c>
      <c r="AL62" s="33"/>
      <c r="AM62" s="33">
        <v>230000</v>
      </c>
      <c r="AN62" s="33"/>
      <c r="AO62" s="33">
        <v>230000</v>
      </c>
      <c r="AP62" s="67">
        <f t="shared" si="31"/>
        <v>230000</v>
      </c>
      <c r="AQ62" s="34">
        <f t="shared" si="32"/>
        <v>100</v>
      </c>
      <c r="AR62" s="67">
        <f t="shared" si="33"/>
        <v>230000</v>
      </c>
      <c r="AS62" s="34">
        <f t="shared" si="34"/>
        <v>100</v>
      </c>
      <c r="AT62" s="28">
        <f t="shared" si="35"/>
        <v>128</v>
      </c>
      <c r="AU62" s="28">
        <f t="shared" si="36"/>
        <v>179.8</v>
      </c>
      <c r="AV62" s="28">
        <f t="shared" si="37"/>
        <v>307.8</v>
      </c>
      <c r="AW62" s="24">
        <f t="shared" si="38"/>
        <v>0</v>
      </c>
      <c r="AX62" s="24">
        <f t="shared" si="39"/>
        <v>0</v>
      </c>
      <c r="AY62" s="24">
        <f t="shared" si="40"/>
        <v>0</v>
      </c>
      <c r="AZ62" s="156">
        <f t="shared" si="41"/>
        <v>52272</v>
      </c>
      <c r="BA62" s="35">
        <f t="shared" si="42"/>
        <v>0.2272695652173913</v>
      </c>
      <c r="BB62" s="35">
        <f t="shared" si="43"/>
        <v>29.09050434782609</v>
      </c>
      <c r="BC62" s="36">
        <f t="shared" si="44"/>
        <v>40.86306782608696</v>
      </c>
      <c r="BD62" s="36">
        <f t="shared" si="45"/>
        <v>69.95357217391305</v>
      </c>
      <c r="BE62" s="36" t="str">
        <f t="shared" si="46"/>
        <v>yes</v>
      </c>
      <c r="BF62" s="37">
        <f t="shared" si="47"/>
        <v>0.2272695652173913</v>
      </c>
      <c r="BG62" s="37">
        <f t="shared" si="48"/>
        <v>29.09050434782609</v>
      </c>
      <c r="BH62" s="36">
        <f t="shared" si="49"/>
        <v>40.86306782608696</v>
      </c>
      <c r="BI62" s="38">
        <f t="shared" si="50"/>
        <v>69.95357217391305</v>
      </c>
      <c r="BJ62" s="1" t="str">
        <f t="shared" si="51"/>
        <v>yes</v>
      </c>
      <c r="BK62" s="37">
        <f t="shared" si="52"/>
        <v>0</v>
      </c>
      <c r="BL62" s="37">
        <f t="shared" si="52"/>
        <v>0</v>
      </c>
      <c r="BM62" s="7">
        <f t="shared" si="53"/>
        <v>0</v>
      </c>
      <c r="BN62" s="7">
        <f t="shared" si="54"/>
        <v>0</v>
      </c>
    </row>
    <row r="63" spans="2:66" ht="18" customHeight="1">
      <c r="B63" s="4" t="s">
        <v>12</v>
      </c>
      <c r="C63" s="4" t="s">
        <v>95</v>
      </c>
      <c r="D63" s="157" t="s">
        <v>69</v>
      </c>
      <c r="E63" s="191" t="s">
        <v>7</v>
      </c>
      <c r="F63" s="79">
        <f t="shared" si="14"/>
        <v>52272</v>
      </c>
      <c r="G63" s="80">
        <f t="shared" si="15"/>
        <v>40</v>
      </c>
      <c r="H63" s="149">
        <f t="shared" si="16"/>
        <v>4</v>
      </c>
      <c r="I63" s="150">
        <f t="shared" si="17"/>
        <v>68.15814260869564</v>
      </c>
      <c r="J63" s="83">
        <f t="shared" si="18"/>
        <v>65.40818086956523</v>
      </c>
      <c r="K63" s="84">
        <f t="shared" si="19"/>
        <v>65.40818086956523</v>
      </c>
      <c r="L63" s="151">
        <f t="shared" si="20"/>
        <v>24.545113043478263</v>
      </c>
      <c r="M63" s="152">
        <f t="shared" si="21"/>
        <v>24.545113043478263</v>
      </c>
      <c r="N63" s="188">
        <f t="shared" si="22"/>
        <v>0</v>
      </c>
      <c r="O63" s="153">
        <f t="shared" si="23"/>
        <v>40.86306782608696</v>
      </c>
      <c r="P63" s="154">
        <f t="shared" si="24"/>
        <v>40.86306782608696</v>
      </c>
      <c r="Q63" s="176">
        <f t="shared" si="25"/>
        <v>0</v>
      </c>
      <c r="R63" s="100">
        <f t="shared" si="26"/>
        <v>0</v>
      </c>
      <c r="S63" s="184">
        <f t="shared" si="27"/>
        <v>0</v>
      </c>
      <c r="U63" s="208" t="s">
        <v>95</v>
      </c>
      <c r="V63" s="4" t="s">
        <v>12</v>
      </c>
      <c r="X63" s="32">
        <v>128</v>
      </c>
      <c r="Y63" s="32">
        <v>108</v>
      </c>
      <c r="Z63" s="32">
        <v>108</v>
      </c>
      <c r="AA63" s="32">
        <v>171.9</v>
      </c>
      <c r="AB63" s="32"/>
      <c r="AC63" s="32">
        <v>179.8</v>
      </c>
      <c r="AD63" s="32"/>
      <c r="AE63" s="32">
        <v>179.8</v>
      </c>
      <c r="AF63" s="32"/>
      <c r="AG63" s="32">
        <f t="shared" si="28"/>
        <v>299.9</v>
      </c>
      <c r="AH63" s="32">
        <f t="shared" si="29"/>
        <v>287.8</v>
      </c>
      <c r="AI63" s="32">
        <f t="shared" si="30"/>
        <v>287.8</v>
      </c>
      <c r="AJ63" s="33"/>
      <c r="AK63" s="33">
        <v>230000</v>
      </c>
      <c r="AL63" s="33"/>
      <c r="AM63" s="33">
        <v>230000</v>
      </c>
      <c r="AN63" s="33"/>
      <c r="AO63" s="33">
        <v>230000</v>
      </c>
      <c r="AP63" s="67">
        <f t="shared" si="31"/>
        <v>230000</v>
      </c>
      <c r="AQ63" s="34">
        <f t="shared" si="32"/>
        <v>100</v>
      </c>
      <c r="AR63" s="67">
        <f t="shared" si="33"/>
        <v>230000</v>
      </c>
      <c r="AS63" s="34">
        <f t="shared" si="34"/>
        <v>100</v>
      </c>
      <c r="AT63" s="28">
        <f t="shared" si="35"/>
        <v>108</v>
      </c>
      <c r="AU63" s="28">
        <f t="shared" si="36"/>
        <v>179.8</v>
      </c>
      <c r="AV63" s="28">
        <f t="shared" si="37"/>
        <v>287.8</v>
      </c>
      <c r="AW63" s="24">
        <f t="shared" si="38"/>
        <v>0</v>
      </c>
      <c r="AX63" s="24">
        <f t="shared" si="39"/>
        <v>0</v>
      </c>
      <c r="AY63" s="24">
        <f t="shared" si="40"/>
        <v>0</v>
      </c>
      <c r="AZ63" s="156">
        <f t="shared" si="41"/>
        <v>52272</v>
      </c>
      <c r="BA63" s="35">
        <f t="shared" si="42"/>
        <v>0.2272695652173913</v>
      </c>
      <c r="BB63" s="35">
        <f t="shared" si="43"/>
        <v>24.545113043478263</v>
      </c>
      <c r="BC63" s="36">
        <f t="shared" si="44"/>
        <v>40.86306782608696</v>
      </c>
      <c r="BD63" s="36">
        <f t="shared" si="45"/>
        <v>65.40818086956523</v>
      </c>
      <c r="BE63" s="36" t="str">
        <f t="shared" si="46"/>
        <v>yes</v>
      </c>
      <c r="BF63" s="37">
        <f t="shared" si="47"/>
        <v>0.2272695652173913</v>
      </c>
      <c r="BG63" s="37">
        <f t="shared" si="48"/>
        <v>24.545113043478263</v>
      </c>
      <c r="BH63" s="36">
        <f t="shared" si="49"/>
        <v>40.86306782608696</v>
      </c>
      <c r="BI63" s="38">
        <f t="shared" si="50"/>
        <v>65.40818086956523</v>
      </c>
      <c r="BJ63" s="1" t="str">
        <f t="shared" si="51"/>
        <v>yes</v>
      </c>
      <c r="BK63" s="37">
        <f t="shared" si="52"/>
        <v>0</v>
      </c>
      <c r="BL63" s="37">
        <f t="shared" si="52"/>
        <v>0</v>
      </c>
      <c r="BM63" s="7">
        <f t="shared" si="53"/>
        <v>0</v>
      </c>
      <c r="BN63" s="7">
        <f t="shared" si="54"/>
        <v>0</v>
      </c>
    </row>
    <row r="64" spans="2:66" ht="18" customHeight="1">
      <c r="B64" s="4" t="s">
        <v>12</v>
      </c>
      <c r="C64" s="4" t="s">
        <v>95</v>
      </c>
      <c r="D64" s="157" t="s">
        <v>69</v>
      </c>
      <c r="E64" s="191" t="s">
        <v>8</v>
      </c>
      <c r="F64" s="79">
        <f t="shared" si="14"/>
        <v>52272</v>
      </c>
      <c r="G64" s="80">
        <f t="shared" si="15"/>
        <v>40</v>
      </c>
      <c r="H64" s="149">
        <f t="shared" si="16"/>
        <v>4</v>
      </c>
      <c r="I64" s="150">
        <f t="shared" si="17"/>
        <v>68.15814260869564</v>
      </c>
      <c r="J64" s="83">
        <f t="shared" si="18"/>
        <v>65.40818086956523</v>
      </c>
      <c r="K64" s="84">
        <f t="shared" si="19"/>
        <v>65.40818086956523</v>
      </c>
      <c r="L64" s="151">
        <f t="shared" si="20"/>
        <v>24.545113043478263</v>
      </c>
      <c r="M64" s="152">
        <f t="shared" si="21"/>
        <v>24.545113043478263</v>
      </c>
      <c r="N64" s="188">
        <f t="shared" si="22"/>
        <v>0</v>
      </c>
      <c r="O64" s="153">
        <f t="shared" si="23"/>
        <v>40.86306782608696</v>
      </c>
      <c r="P64" s="154">
        <f t="shared" si="24"/>
        <v>40.86306782608696</v>
      </c>
      <c r="Q64" s="176">
        <f t="shared" si="25"/>
        <v>0</v>
      </c>
      <c r="R64" s="100">
        <f t="shared" si="26"/>
        <v>0</v>
      </c>
      <c r="S64" s="184">
        <f t="shared" si="27"/>
        <v>0</v>
      </c>
      <c r="U64" s="208" t="s">
        <v>95</v>
      </c>
      <c r="V64" s="4" t="s">
        <v>12</v>
      </c>
      <c r="X64" s="32">
        <v>128</v>
      </c>
      <c r="Y64" s="32">
        <v>108</v>
      </c>
      <c r="Z64" s="32">
        <v>108</v>
      </c>
      <c r="AA64" s="32">
        <v>171.9</v>
      </c>
      <c r="AB64" s="32"/>
      <c r="AC64" s="32">
        <v>179.8</v>
      </c>
      <c r="AD64" s="32"/>
      <c r="AE64" s="32">
        <v>179.8</v>
      </c>
      <c r="AF64" s="32"/>
      <c r="AG64" s="32">
        <f t="shared" si="28"/>
        <v>299.9</v>
      </c>
      <c r="AH64" s="32">
        <f t="shared" si="29"/>
        <v>287.8</v>
      </c>
      <c r="AI64" s="32">
        <f t="shared" si="30"/>
        <v>287.8</v>
      </c>
      <c r="AJ64" s="33"/>
      <c r="AK64" s="33">
        <v>230000</v>
      </c>
      <c r="AL64" s="33"/>
      <c r="AM64" s="33">
        <v>230000</v>
      </c>
      <c r="AN64" s="33"/>
      <c r="AO64" s="33">
        <v>230000</v>
      </c>
      <c r="AP64" s="67">
        <f t="shared" si="31"/>
        <v>230000</v>
      </c>
      <c r="AQ64" s="34">
        <f t="shared" si="32"/>
        <v>100</v>
      </c>
      <c r="AR64" s="67">
        <f t="shared" si="33"/>
        <v>230000</v>
      </c>
      <c r="AS64" s="34">
        <f t="shared" si="34"/>
        <v>100</v>
      </c>
      <c r="AT64" s="28">
        <f t="shared" si="35"/>
        <v>108</v>
      </c>
      <c r="AU64" s="28">
        <f t="shared" si="36"/>
        <v>179.8</v>
      </c>
      <c r="AV64" s="28">
        <f t="shared" si="37"/>
        <v>287.8</v>
      </c>
      <c r="AW64" s="24">
        <f t="shared" si="38"/>
        <v>0</v>
      </c>
      <c r="AX64" s="24">
        <f t="shared" si="39"/>
        <v>0</v>
      </c>
      <c r="AY64" s="24">
        <f t="shared" si="40"/>
        <v>0</v>
      </c>
      <c r="AZ64" s="156">
        <f t="shared" si="41"/>
        <v>52272</v>
      </c>
      <c r="BA64" s="35">
        <f t="shared" si="42"/>
        <v>0.2272695652173913</v>
      </c>
      <c r="BB64" s="35">
        <f t="shared" si="43"/>
        <v>24.545113043478263</v>
      </c>
      <c r="BC64" s="36">
        <f t="shared" si="44"/>
        <v>40.86306782608696</v>
      </c>
      <c r="BD64" s="36">
        <f t="shared" si="45"/>
        <v>65.40818086956523</v>
      </c>
      <c r="BE64" s="36" t="str">
        <f t="shared" si="46"/>
        <v>yes</v>
      </c>
      <c r="BF64" s="37">
        <f t="shared" si="47"/>
        <v>0.2272695652173913</v>
      </c>
      <c r="BG64" s="37">
        <f t="shared" si="48"/>
        <v>24.545113043478263</v>
      </c>
      <c r="BH64" s="36">
        <f t="shared" si="49"/>
        <v>40.86306782608696</v>
      </c>
      <c r="BI64" s="38">
        <f t="shared" si="50"/>
        <v>65.40818086956523</v>
      </c>
      <c r="BJ64" s="1" t="str">
        <f t="shared" si="51"/>
        <v>yes</v>
      </c>
      <c r="BK64" s="37">
        <f t="shared" si="52"/>
        <v>0</v>
      </c>
      <c r="BL64" s="37">
        <f t="shared" si="52"/>
        <v>0</v>
      </c>
      <c r="BM64" s="7">
        <f t="shared" si="53"/>
        <v>0</v>
      </c>
      <c r="BN64" s="7">
        <f t="shared" si="54"/>
        <v>0</v>
      </c>
    </row>
    <row r="65" spans="4:66" ht="18" customHeight="1">
      <c r="D65" s="157" t="s">
        <v>74</v>
      </c>
      <c r="E65" s="158" t="s">
        <v>208</v>
      </c>
      <c r="F65" s="79">
        <f t="shared" si="14"/>
        <v>52272</v>
      </c>
      <c r="G65" s="80">
        <f t="shared" si="15"/>
        <v>40</v>
      </c>
      <c r="H65" s="149">
        <f t="shared" si="16"/>
        <v>4</v>
      </c>
      <c r="I65" s="150">
        <f t="shared" si="17"/>
        <v>0</v>
      </c>
      <c r="J65" s="83">
        <f t="shared" si="18"/>
        <v>0</v>
      </c>
      <c r="K65" s="84">
        <f t="shared" si="19"/>
        <v>70.86265043478261</v>
      </c>
      <c r="L65" s="151">
        <f t="shared" si="20"/>
      </c>
      <c r="M65" s="152">
        <f t="shared" si="21"/>
        <v>29.999582608695654</v>
      </c>
      <c r="N65" s="188" t="str">
        <f t="shared" si="22"/>
        <v>New</v>
      </c>
      <c r="O65" s="153">
        <f t="shared" si="23"/>
      </c>
      <c r="P65" s="154">
        <f t="shared" si="24"/>
        <v>40.86306782608696</v>
      </c>
      <c r="Q65" s="176" t="str">
        <f t="shared" si="25"/>
        <v>New</v>
      </c>
      <c r="R65" s="100" t="str">
        <f t="shared" si="26"/>
        <v>New</v>
      </c>
      <c r="S65" s="184">
        <f t="shared" si="27"/>
      </c>
      <c r="U65" s="208" t="s">
        <v>95</v>
      </c>
      <c r="V65" s="4" t="s">
        <v>12</v>
      </c>
      <c r="X65" s="155"/>
      <c r="Y65" s="155"/>
      <c r="Z65" s="155">
        <v>132</v>
      </c>
      <c r="AA65" s="155"/>
      <c r="AB65" s="155"/>
      <c r="AC65" s="155"/>
      <c r="AD65" s="155"/>
      <c r="AE65" s="155">
        <v>179.8</v>
      </c>
      <c r="AF65" s="155"/>
      <c r="AG65" s="32">
        <f t="shared" si="28"/>
        <v>0</v>
      </c>
      <c r="AH65" s="32">
        <f t="shared" si="29"/>
        <v>0</v>
      </c>
      <c r="AI65" s="32">
        <f t="shared" si="30"/>
        <v>311.8</v>
      </c>
      <c r="AJ65" s="33"/>
      <c r="AK65" s="33">
        <v>230000</v>
      </c>
      <c r="AL65" s="33"/>
      <c r="AM65" s="33">
        <v>230000</v>
      </c>
      <c r="AN65" s="33"/>
      <c r="AO65" s="33">
        <v>230000</v>
      </c>
      <c r="AP65" s="67">
        <f t="shared" si="31"/>
        <v>230000</v>
      </c>
      <c r="AQ65" s="34">
        <f t="shared" si="32"/>
        <v>100</v>
      </c>
      <c r="AR65" s="67">
        <f t="shared" si="33"/>
        <v>230000</v>
      </c>
      <c r="AS65" s="34">
        <f t="shared" si="34"/>
        <v>100</v>
      </c>
      <c r="AT65" s="28">
        <f t="shared" si="35"/>
      </c>
      <c r="AU65" s="28">
        <f t="shared" si="36"/>
      </c>
      <c r="AV65" s="28">
        <f t="shared" si="37"/>
      </c>
      <c r="AW65" s="24">
        <f t="shared" si="38"/>
      </c>
      <c r="AX65" s="24">
        <f t="shared" si="39"/>
      </c>
      <c r="AY65" s="24" t="str">
        <f t="shared" si="40"/>
        <v>New</v>
      </c>
      <c r="AZ65" s="156">
        <f t="shared" si="41"/>
        <v>52272</v>
      </c>
      <c r="BA65" s="35">
        <f t="shared" si="42"/>
        <v>0.2272695652173913</v>
      </c>
      <c r="BB65" s="35">
        <f t="shared" si="43"/>
        <v>29.999582608695654</v>
      </c>
      <c r="BC65" s="36">
        <f t="shared" si="44"/>
        <v>40.86306782608696</v>
      </c>
      <c r="BD65" s="36">
        <f t="shared" si="45"/>
        <v>70.86265043478261</v>
      </c>
      <c r="BE65" s="36" t="str">
        <f t="shared" si="46"/>
        <v>yes</v>
      </c>
      <c r="BF65" s="37">
        <f t="shared" si="47"/>
        <v>0.2272695652173913</v>
      </c>
      <c r="BG65" s="37">
        <f t="shared" si="48"/>
      </c>
      <c r="BH65" s="36">
        <f t="shared" si="49"/>
        <v>0</v>
      </c>
      <c r="BI65" s="38">
        <f t="shared" si="50"/>
        <v>0</v>
      </c>
      <c r="BJ65" s="1" t="str">
        <f t="shared" si="51"/>
        <v>yes</v>
      </c>
      <c r="BK65" s="37">
        <f>IF(BG65="","",IF(BG65=0,"",BB65-BG65))</f>
      </c>
      <c r="BL65" s="37">
        <f>IF(BH65="","",IF(BH65=0,"",BC65-BH65))</f>
      </c>
      <c r="BM65" s="7">
        <f t="shared" si="53"/>
      </c>
      <c r="BN65" s="7" t="e">
        <f t="shared" si="54"/>
        <v>#VALUE!</v>
      </c>
    </row>
    <row r="66" spans="2:66" ht="18" customHeight="1">
      <c r="B66" s="4" t="s">
        <v>12</v>
      </c>
      <c r="C66" s="4" t="s">
        <v>95</v>
      </c>
      <c r="D66" s="157" t="s">
        <v>74</v>
      </c>
      <c r="E66" s="158" t="s">
        <v>75</v>
      </c>
      <c r="F66" s="79">
        <f t="shared" si="14"/>
        <v>52272</v>
      </c>
      <c r="G66" s="80">
        <f t="shared" si="15"/>
        <v>40</v>
      </c>
      <c r="H66" s="149">
        <f t="shared" si="16"/>
        <v>4</v>
      </c>
      <c r="I66" s="150">
        <f t="shared" si="17"/>
        <v>67.47633391304348</v>
      </c>
      <c r="J66" s="83">
        <f t="shared" si="18"/>
        <v>65.63545043478261</v>
      </c>
      <c r="K66" s="84">
        <f t="shared" si="19"/>
        <v>66.0899895652174</v>
      </c>
      <c r="L66" s="151">
        <f t="shared" si="20"/>
        <v>24.772382608695654</v>
      </c>
      <c r="M66" s="152">
        <f t="shared" si="21"/>
        <v>25.226921739130436</v>
      </c>
      <c r="N66" s="188">
        <f t="shared" si="22"/>
        <v>0.0183486238532109</v>
      </c>
      <c r="O66" s="153">
        <f t="shared" si="23"/>
        <v>40.86306782608696</v>
      </c>
      <c r="P66" s="154">
        <f t="shared" si="24"/>
        <v>40.86306782608696</v>
      </c>
      <c r="Q66" s="176">
        <f t="shared" si="25"/>
        <v>0</v>
      </c>
      <c r="R66" s="100">
        <f t="shared" si="26"/>
        <v>0.45453913043478167</v>
      </c>
      <c r="S66" s="184">
        <f t="shared" si="27"/>
        <v>0.006925207756232672</v>
      </c>
      <c r="U66" s="208" t="s">
        <v>95</v>
      </c>
      <c r="V66" s="4" t="s">
        <v>12</v>
      </c>
      <c r="X66" s="155">
        <v>125</v>
      </c>
      <c r="Y66" s="155">
        <v>109</v>
      </c>
      <c r="Z66" s="155">
        <v>111</v>
      </c>
      <c r="AA66" s="155">
        <v>171.9</v>
      </c>
      <c r="AB66" s="155"/>
      <c r="AC66" s="155">
        <v>179.8</v>
      </c>
      <c r="AD66" s="155"/>
      <c r="AE66" s="155">
        <v>179.8</v>
      </c>
      <c r="AF66" s="155"/>
      <c r="AG66" s="32">
        <f t="shared" si="28"/>
        <v>296.9</v>
      </c>
      <c r="AH66" s="32">
        <f t="shared" si="29"/>
        <v>288.8</v>
      </c>
      <c r="AI66" s="32">
        <f t="shared" si="30"/>
        <v>290.8</v>
      </c>
      <c r="AJ66" s="33"/>
      <c r="AK66" s="33">
        <v>230000</v>
      </c>
      <c r="AL66" s="33"/>
      <c r="AM66" s="33">
        <v>230000</v>
      </c>
      <c r="AN66" s="33"/>
      <c r="AO66" s="33">
        <v>230000</v>
      </c>
      <c r="AP66" s="67">
        <f t="shared" si="31"/>
        <v>230000</v>
      </c>
      <c r="AQ66" s="34">
        <f t="shared" si="32"/>
        <v>100</v>
      </c>
      <c r="AR66" s="67">
        <f t="shared" si="33"/>
        <v>230000</v>
      </c>
      <c r="AS66" s="34">
        <f t="shared" si="34"/>
        <v>100</v>
      </c>
      <c r="AT66" s="28">
        <f t="shared" si="35"/>
        <v>109.00000000000001</v>
      </c>
      <c r="AU66" s="28">
        <f t="shared" si="36"/>
        <v>179.8</v>
      </c>
      <c r="AV66" s="28">
        <f t="shared" si="37"/>
        <v>288.8</v>
      </c>
      <c r="AW66" s="24">
        <f t="shared" si="38"/>
        <v>1.9999999999999858</v>
      </c>
      <c r="AX66" s="24">
        <f t="shared" si="39"/>
        <v>0</v>
      </c>
      <c r="AY66" s="24">
        <f t="shared" si="40"/>
        <v>2</v>
      </c>
      <c r="AZ66" s="156">
        <f t="shared" si="41"/>
        <v>52272</v>
      </c>
      <c r="BA66" s="35">
        <f t="shared" si="42"/>
        <v>0.2272695652173913</v>
      </c>
      <c r="BB66" s="35">
        <f t="shared" si="43"/>
        <v>25.226921739130436</v>
      </c>
      <c r="BC66" s="36">
        <f t="shared" si="44"/>
        <v>40.86306782608696</v>
      </c>
      <c r="BD66" s="36">
        <f t="shared" si="45"/>
        <v>66.0899895652174</v>
      </c>
      <c r="BE66" s="36" t="str">
        <f t="shared" si="46"/>
        <v>yes</v>
      </c>
      <c r="BF66" s="37">
        <f t="shared" si="47"/>
        <v>0.2272695652173913</v>
      </c>
      <c r="BG66" s="37">
        <f t="shared" si="48"/>
        <v>24.772382608695654</v>
      </c>
      <c r="BH66" s="36">
        <f t="shared" si="49"/>
        <v>40.86306782608696</v>
      </c>
      <c r="BI66" s="38">
        <f t="shared" si="50"/>
        <v>65.63545043478261</v>
      </c>
      <c r="BJ66" s="1" t="str">
        <f t="shared" si="51"/>
        <v>yes</v>
      </c>
      <c r="BK66" s="37">
        <f aca="true" t="shared" si="55" ref="BK66:BL99">IF(BG66="","",IF(BG66=0,"",BB66-BG66))</f>
        <v>0.45453913043478167</v>
      </c>
      <c r="BL66" s="37">
        <f t="shared" si="55"/>
        <v>0</v>
      </c>
      <c r="BM66" s="7">
        <f t="shared" si="53"/>
        <v>0.45453913043478167</v>
      </c>
      <c r="BN66" s="7">
        <f t="shared" si="54"/>
        <v>0</v>
      </c>
    </row>
    <row r="67" spans="2:66" ht="18" customHeight="1">
      <c r="B67" s="4" t="s">
        <v>12</v>
      </c>
      <c r="C67" s="4" t="s">
        <v>140</v>
      </c>
      <c r="D67" s="157" t="s">
        <v>74</v>
      </c>
      <c r="E67" s="158" t="s">
        <v>138</v>
      </c>
      <c r="F67" s="79">
        <f t="shared" si="14"/>
        <v>52272</v>
      </c>
      <c r="G67" s="80">
        <f t="shared" si="15"/>
        <v>40</v>
      </c>
      <c r="H67" s="149">
        <f t="shared" si="16"/>
        <v>4</v>
      </c>
      <c r="I67" s="150">
        <f t="shared" si="17"/>
        <v>58.36282434782609</v>
      </c>
      <c r="J67" s="83">
        <f t="shared" si="18"/>
        <v>61.77186782608696</v>
      </c>
      <c r="K67" s="84">
        <f t="shared" si="19"/>
        <v>62.22640695652174</v>
      </c>
      <c r="L67" s="151">
        <f t="shared" si="20"/>
        <v>29.545043478260872</v>
      </c>
      <c r="M67" s="152">
        <f t="shared" si="21"/>
        <v>29.999582608695654</v>
      </c>
      <c r="N67" s="188">
        <f t="shared" si="22"/>
        <v>0.01538461538461533</v>
      </c>
      <c r="O67" s="153">
        <f t="shared" si="23"/>
        <v>32.22682434782609</v>
      </c>
      <c r="P67" s="154">
        <f t="shared" si="24"/>
        <v>32.22682434782609</v>
      </c>
      <c r="Q67" s="176">
        <f t="shared" si="25"/>
        <v>0</v>
      </c>
      <c r="R67" s="100">
        <f t="shared" si="26"/>
        <v>0.45453913043478167</v>
      </c>
      <c r="S67" s="184">
        <f t="shared" si="27"/>
        <v>0.007358351729212641</v>
      </c>
      <c r="U67" s="208" t="s">
        <v>140</v>
      </c>
      <c r="V67" s="4" t="s">
        <v>12</v>
      </c>
      <c r="X67" s="155">
        <v>125</v>
      </c>
      <c r="Y67" s="155">
        <v>130</v>
      </c>
      <c r="Z67" s="155">
        <v>132</v>
      </c>
      <c r="AA67" s="155">
        <v>131.8</v>
      </c>
      <c r="AB67" s="155"/>
      <c r="AC67" s="155">
        <v>141.8</v>
      </c>
      <c r="AD67" s="155"/>
      <c r="AE67" s="155">
        <v>141.8</v>
      </c>
      <c r="AF67" s="155"/>
      <c r="AG67" s="32">
        <f t="shared" si="28"/>
        <v>256.8</v>
      </c>
      <c r="AH67" s="32">
        <f t="shared" si="29"/>
        <v>271.8</v>
      </c>
      <c r="AI67" s="32">
        <f t="shared" si="30"/>
        <v>273.8</v>
      </c>
      <c r="AJ67" s="33"/>
      <c r="AK67" s="33">
        <v>230000</v>
      </c>
      <c r="AL67" s="33"/>
      <c r="AM67" s="33">
        <v>230000</v>
      </c>
      <c r="AN67" s="33"/>
      <c r="AO67" s="33">
        <v>230000</v>
      </c>
      <c r="AP67" s="67">
        <f t="shared" si="31"/>
        <v>230000</v>
      </c>
      <c r="AQ67" s="34">
        <f t="shared" si="32"/>
        <v>100</v>
      </c>
      <c r="AR67" s="67">
        <f t="shared" si="33"/>
        <v>230000</v>
      </c>
      <c r="AS67" s="34">
        <f t="shared" si="34"/>
        <v>100</v>
      </c>
      <c r="AT67" s="28">
        <f t="shared" si="35"/>
        <v>130</v>
      </c>
      <c r="AU67" s="28">
        <f t="shared" si="36"/>
        <v>141.8</v>
      </c>
      <c r="AV67" s="28">
        <f t="shared" si="37"/>
        <v>271.8</v>
      </c>
      <c r="AW67" s="24">
        <f t="shared" si="38"/>
        <v>2</v>
      </c>
      <c r="AX67" s="24">
        <f t="shared" si="39"/>
        <v>0</v>
      </c>
      <c r="AY67" s="24">
        <f t="shared" si="40"/>
        <v>2</v>
      </c>
      <c r="AZ67" s="156">
        <f t="shared" si="41"/>
        <v>52272</v>
      </c>
      <c r="BA67" s="35">
        <f t="shared" si="42"/>
        <v>0.2272695652173913</v>
      </c>
      <c r="BB67" s="35">
        <f t="shared" si="43"/>
        <v>29.999582608695654</v>
      </c>
      <c r="BC67" s="36">
        <f t="shared" si="44"/>
        <v>32.22682434782609</v>
      </c>
      <c r="BD67" s="36">
        <f t="shared" si="45"/>
        <v>62.22640695652174</v>
      </c>
      <c r="BE67" s="36" t="str">
        <f t="shared" si="46"/>
        <v>yes</v>
      </c>
      <c r="BF67" s="37">
        <f t="shared" si="47"/>
        <v>0.2272695652173913</v>
      </c>
      <c r="BG67" s="37">
        <f t="shared" si="48"/>
        <v>29.545043478260872</v>
      </c>
      <c r="BH67" s="36">
        <f t="shared" si="49"/>
        <v>32.22682434782609</v>
      </c>
      <c r="BI67" s="38">
        <f t="shared" si="50"/>
        <v>61.77186782608696</v>
      </c>
      <c r="BJ67" s="1" t="str">
        <f t="shared" si="51"/>
        <v>yes</v>
      </c>
      <c r="BK67" s="37">
        <f t="shared" si="55"/>
        <v>0.45453913043478167</v>
      </c>
      <c r="BL67" s="37">
        <f t="shared" si="55"/>
        <v>0</v>
      </c>
      <c r="BM67" s="7">
        <f t="shared" si="53"/>
        <v>0.45453913043478167</v>
      </c>
      <c r="BN67" s="7">
        <f t="shared" si="54"/>
        <v>0</v>
      </c>
    </row>
    <row r="68" spans="2:66" ht="18" customHeight="1">
      <c r="B68" s="4" t="s">
        <v>12</v>
      </c>
      <c r="C68" s="4" t="s">
        <v>95</v>
      </c>
      <c r="D68" s="157" t="s">
        <v>74</v>
      </c>
      <c r="E68" s="158" t="s">
        <v>139</v>
      </c>
      <c r="F68" s="79">
        <f t="shared" si="14"/>
        <v>52272</v>
      </c>
      <c r="G68" s="80">
        <f t="shared" si="15"/>
        <v>40</v>
      </c>
      <c r="H68" s="149">
        <f t="shared" si="16"/>
        <v>4</v>
      </c>
      <c r="I68" s="150">
        <f t="shared" si="17"/>
        <v>67.47633391304348</v>
      </c>
      <c r="J68" s="83">
        <f t="shared" si="18"/>
        <v>70.40811130434784</v>
      </c>
      <c r="K68" s="84">
        <f t="shared" si="19"/>
        <v>70.86265043478261</v>
      </c>
      <c r="L68" s="151">
        <f t="shared" si="20"/>
        <v>29.545043478260872</v>
      </c>
      <c r="M68" s="152">
        <f t="shared" si="21"/>
        <v>29.999582608695654</v>
      </c>
      <c r="N68" s="188">
        <f t="shared" si="22"/>
        <v>0.01538461538461533</v>
      </c>
      <c r="O68" s="153">
        <f t="shared" si="23"/>
        <v>40.86306782608696</v>
      </c>
      <c r="P68" s="154">
        <f t="shared" si="24"/>
        <v>40.86306782608696</v>
      </c>
      <c r="Q68" s="176">
        <f t="shared" si="25"/>
        <v>0</v>
      </c>
      <c r="R68" s="100">
        <f t="shared" si="26"/>
        <v>0.45453913043476746</v>
      </c>
      <c r="S68" s="184">
        <f t="shared" si="27"/>
        <v>0.0064557779212392925</v>
      </c>
      <c r="U68" s="208" t="s">
        <v>95</v>
      </c>
      <c r="V68" s="4" t="s">
        <v>12</v>
      </c>
      <c r="X68" s="155">
        <v>125</v>
      </c>
      <c r="Y68" s="155">
        <v>130</v>
      </c>
      <c r="Z68" s="155">
        <v>132</v>
      </c>
      <c r="AA68" s="206">
        <v>171.9</v>
      </c>
      <c r="AB68" s="155"/>
      <c r="AC68" s="206">
        <v>179.8</v>
      </c>
      <c r="AD68" s="155"/>
      <c r="AE68" s="206">
        <v>179.8</v>
      </c>
      <c r="AF68" s="155"/>
      <c r="AG68" s="32">
        <f t="shared" si="28"/>
        <v>296.9</v>
      </c>
      <c r="AH68" s="32">
        <f t="shared" si="29"/>
        <v>309.8</v>
      </c>
      <c r="AI68" s="32">
        <f t="shared" si="30"/>
        <v>311.8</v>
      </c>
      <c r="AJ68" s="33"/>
      <c r="AK68" s="33">
        <v>230000</v>
      </c>
      <c r="AL68" s="33"/>
      <c r="AM68" s="33">
        <v>230000</v>
      </c>
      <c r="AN68" s="33"/>
      <c r="AO68" s="33">
        <v>230000</v>
      </c>
      <c r="AP68" s="67">
        <f t="shared" si="31"/>
        <v>230000</v>
      </c>
      <c r="AQ68" s="34">
        <f t="shared" si="32"/>
        <v>100</v>
      </c>
      <c r="AR68" s="67">
        <f t="shared" si="33"/>
        <v>230000</v>
      </c>
      <c r="AS68" s="34">
        <f t="shared" si="34"/>
        <v>100</v>
      </c>
      <c r="AT68" s="28">
        <f t="shared" si="35"/>
        <v>130</v>
      </c>
      <c r="AU68" s="28">
        <f t="shared" si="36"/>
        <v>179.8</v>
      </c>
      <c r="AV68" s="28">
        <f t="shared" si="37"/>
        <v>309.8</v>
      </c>
      <c r="AW68" s="24">
        <f t="shared" si="38"/>
        <v>2</v>
      </c>
      <c r="AX68" s="24">
        <f t="shared" si="39"/>
        <v>0</v>
      </c>
      <c r="AY68" s="24">
        <f t="shared" si="40"/>
        <v>2</v>
      </c>
      <c r="AZ68" s="156">
        <f t="shared" si="41"/>
        <v>52272</v>
      </c>
      <c r="BA68" s="35">
        <f t="shared" si="42"/>
        <v>0.2272695652173913</v>
      </c>
      <c r="BB68" s="35">
        <f t="shared" si="43"/>
        <v>29.999582608695654</v>
      </c>
      <c r="BC68" s="36">
        <f t="shared" si="44"/>
        <v>40.86306782608696</v>
      </c>
      <c r="BD68" s="36">
        <f t="shared" si="45"/>
        <v>70.86265043478261</v>
      </c>
      <c r="BE68" s="36" t="str">
        <f t="shared" si="46"/>
        <v>yes</v>
      </c>
      <c r="BF68" s="37">
        <f t="shared" si="47"/>
        <v>0.2272695652173913</v>
      </c>
      <c r="BG68" s="37">
        <f t="shared" si="48"/>
        <v>29.545043478260872</v>
      </c>
      <c r="BH68" s="36">
        <f t="shared" si="49"/>
        <v>40.86306782608696</v>
      </c>
      <c r="BI68" s="38">
        <f t="shared" si="50"/>
        <v>70.40811130434784</v>
      </c>
      <c r="BJ68" s="1" t="str">
        <f t="shared" si="51"/>
        <v>yes</v>
      </c>
      <c r="BK68" s="37">
        <f t="shared" si="55"/>
        <v>0.45453913043478167</v>
      </c>
      <c r="BL68" s="37">
        <f t="shared" si="55"/>
        <v>0</v>
      </c>
      <c r="BM68" s="7">
        <f t="shared" si="53"/>
        <v>0.45453913043476746</v>
      </c>
      <c r="BN68" s="7">
        <f t="shared" si="54"/>
        <v>0</v>
      </c>
    </row>
    <row r="69" spans="2:66" ht="18" customHeight="1">
      <c r="B69" s="4" t="s">
        <v>12</v>
      </c>
      <c r="C69" s="4" t="s">
        <v>95</v>
      </c>
      <c r="D69" s="157" t="s">
        <v>74</v>
      </c>
      <c r="E69" s="158" t="s">
        <v>76</v>
      </c>
      <c r="F69" s="79">
        <f t="shared" si="14"/>
        <v>52272</v>
      </c>
      <c r="G69" s="80">
        <f t="shared" si="15"/>
        <v>40</v>
      </c>
      <c r="H69" s="149">
        <f t="shared" si="16"/>
        <v>4</v>
      </c>
      <c r="I69" s="150">
        <f t="shared" si="17"/>
        <v>67.47633391304348</v>
      </c>
      <c r="J69" s="83">
        <f t="shared" si="18"/>
        <v>65.63545043478261</v>
      </c>
      <c r="K69" s="84">
        <f t="shared" si="19"/>
        <v>66.0899895652174</v>
      </c>
      <c r="L69" s="151">
        <f t="shared" si="20"/>
        <v>24.772382608695654</v>
      </c>
      <c r="M69" s="152">
        <f t="shared" si="21"/>
        <v>25.226921739130436</v>
      </c>
      <c r="N69" s="188">
        <f t="shared" si="22"/>
        <v>0.0183486238532109</v>
      </c>
      <c r="O69" s="153">
        <f t="shared" si="23"/>
        <v>40.86306782608696</v>
      </c>
      <c r="P69" s="154">
        <f t="shared" si="24"/>
        <v>40.86306782608696</v>
      </c>
      <c r="Q69" s="176">
        <f t="shared" si="25"/>
        <v>0</v>
      </c>
      <c r="R69" s="100">
        <f t="shared" si="26"/>
        <v>0.45453913043478167</v>
      </c>
      <c r="S69" s="184">
        <f t="shared" si="27"/>
        <v>0.006925207756232672</v>
      </c>
      <c r="U69" s="208" t="s">
        <v>95</v>
      </c>
      <c r="V69" s="4" t="s">
        <v>12</v>
      </c>
      <c r="X69" s="155">
        <v>125</v>
      </c>
      <c r="Y69" s="155">
        <v>109</v>
      </c>
      <c r="Z69" s="155">
        <v>111</v>
      </c>
      <c r="AA69" s="206">
        <v>171.9</v>
      </c>
      <c r="AB69" s="155"/>
      <c r="AC69" s="206">
        <v>179.8</v>
      </c>
      <c r="AD69" s="155"/>
      <c r="AE69" s="206">
        <v>179.8</v>
      </c>
      <c r="AF69" s="155"/>
      <c r="AG69" s="32">
        <f t="shared" si="28"/>
        <v>296.9</v>
      </c>
      <c r="AH69" s="32">
        <f t="shared" si="29"/>
        <v>288.8</v>
      </c>
      <c r="AI69" s="32">
        <f t="shared" si="30"/>
        <v>290.8</v>
      </c>
      <c r="AJ69" s="33"/>
      <c r="AK69" s="33">
        <v>230000</v>
      </c>
      <c r="AL69" s="33"/>
      <c r="AM69" s="33">
        <v>230000</v>
      </c>
      <c r="AN69" s="33"/>
      <c r="AO69" s="33">
        <v>230000</v>
      </c>
      <c r="AP69" s="67">
        <f t="shared" si="31"/>
        <v>230000</v>
      </c>
      <c r="AQ69" s="34">
        <f t="shared" si="32"/>
        <v>100</v>
      </c>
      <c r="AR69" s="67">
        <f t="shared" si="33"/>
        <v>230000</v>
      </c>
      <c r="AS69" s="34">
        <f t="shared" si="34"/>
        <v>100</v>
      </c>
      <c r="AT69" s="28">
        <f t="shared" si="35"/>
        <v>109.00000000000001</v>
      </c>
      <c r="AU69" s="28">
        <f t="shared" si="36"/>
        <v>179.8</v>
      </c>
      <c r="AV69" s="28">
        <f t="shared" si="37"/>
        <v>288.8</v>
      </c>
      <c r="AW69" s="24">
        <f t="shared" si="38"/>
        <v>1.9999999999999858</v>
      </c>
      <c r="AX69" s="24">
        <f t="shared" si="39"/>
        <v>0</v>
      </c>
      <c r="AY69" s="24">
        <f t="shared" si="40"/>
        <v>2</v>
      </c>
      <c r="AZ69" s="156">
        <f t="shared" si="41"/>
        <v>52272</v>
      </c>
      <c r="BA69" s="35">
        <f t="shared" si="42"/>
        <v>0.2272695652173913</v>
      </c>
      <c r="BB69" s="35">
        <f t="shared" si="43"/>
        <v>25.226921739130436</v>
      </c>
      <c r="BC69" s="36">
        <f t="shared" si="44"/>
        <v>40.86306782608696</v>
      </c>
      <c r="BD69" s="36">
        <f t="shared" si="45"/>
        <v>66.0899895652174</v>
      </c>
      <c r="BE69" s="36" t="str">
        <f t="shared" si="46"/>
        <v>yes</v>
      </c>
      <c r="BF69" s="37">
        <f t="shared" si="47"/>
        <v>0.2272695652173913</v>
      </c>
      <c r="BG69" s="37">
        <f t="shared" si="48"/>
        <v>24.772382608695654</v>
      </c>
      <c r="BH69" s="36">
        <f t="shared" si="49"/>
        <v>40.86306782608696</v>
      </c>
      <c r="BI69" s="38">
        <f t="shared" si="50"/>
        <v>65.63545043478261</v>
      </c>
      <c r="BJ69" s="1" t="str">
        <f t="shared" si="51"/>
        <v>yes</v>
      </c>
      <c r="BK69" s="37">
        <f t="shared" si="55"/>
        <v>0.45453913043478167</v>
      </c>
      <c r="BL69" s="37">
        <f t="shared" si="55"/>
        <v>0</v>
      </c>
      <c r="BM69" s="7">
        <f t="shared" si="53"/>
        <v>0.45453913043478167</v>
      </c>
      <c r="BN69" s="7">
        <f t="shared" si="54"/>
        <v>0</v>
      </c>
    </row>
    <row r="70" spans="2:66" ht="18" customHeight="1">
      <c r="B70" s="4" t="s">
        <v>12</v>
      </c>
      <c r="C70" s="4" t="s">
        <v>95</v>
      </c>
      <c r="D70" s="157" t="s">
        <v>74</v>
      </c>
      <c r="E70" s="158" t="s">
        <v>77</v>
      </c>
      <c r="F70" s="79">
        <f t="shared" si="14"/>
        <v>52272</v>
      </c>
      <c r="G70" s="80">
        <f t="shared" si="15"/>
        <v>40</v>
      </c>
      <c r="H70" s="149">
        <f t="shared" si="16"/>
        <v>4</v>
      </c>
      <c r="I70" s="150">
        <f t="shared" si="17"/>
        <v>67.47633391304348</v>
      </c>
      <c r="J70" s="83">
        <f t="shared" si="18"/>
        <v>65.63545043478261</v>
      </c>
      <c r="K70" s="84">
        <f t="shared" si="19"/>
        <v>66.0899895652174</v>
      </c>
      <c r="L70" s="151">
        <f t="shared" si="20"/>
        <v>24.772382608695654</v>
      </c>
      <c r="M70" s="152">
        <f t="shared" si="21"/>
        <v>25.226921739130436</v>
      </c>
      <c r="N70" s="188">
        <f t="shared" si="22"/>
        <v>0.0183486238532109</v>
      </c>
      <c r="O70" s="153">
        <f t="shared" si="23"/>
        <v>40.86306782608696</v>
      </c>
      <c r="P70" s="154">
        <f t="shared" si="24"/>
        <v>40.86306782608696</v>
      </c>
      <c r="Q70" s="176">
        <f t="shared" si="25"/>
        <v>0</v>
      </c>
      <c r="R70" s="100">
        <f t="shared" si="26"/>
        <v>0.45453913043478167</v>
      </c>
      <c r="S70" s="184">
        <f t="shared" si="27"/>
        <v>0.006925207756232672</v>
      </c>
      <c r="U70" s="208" t="s">
        <v>95</v>
      </c>
      <c r="V70" s="4" t="s">
        <v>12</v>
      </c>
      <c r="X70" s="155">
        <v>125</v>
      </c>
      <c r="Y70" s="155">
        <v>109</v>
      </c>
      <c r="Z70" s="155">
        <v>111</v>
      </c>
      <c r="AA70" s="206">
        <v>171.9</v>
      </c>
      <c r="AB70" s="155"/>
      <c r="AC70" s="206">
        <v>179.8</v>
      </c>
      <c r="AD70" s="155"/>
      <c r="AE70" s="206">
        <v>179.8</v>
      </c>
      <c r="AF70" s="155"/>
      <c r="AG70" s="32">
        <f t="shared" si="28"/>
        <v>296.9</v>
      </c>
      <c r="AH70" s="32">
        <f t="shared" si="29"/>
        <v>288.8</v>
      </c>
      <c r="AI70" s="32">
        <f t="shared" si="30"/>
        <v>290.8</v>
      </c>
      <c r="AJ70" s="33"/>
      <c r="AK70" s="33">
        <v>230000</v>
      </c>
      <c r="AL70" s="33"/>
      <c r="AM70" s="33">
        <v>230000</v>
      </c>
      <c r="AN70" s="33"/>
      <c r="AO70" s="33">
        <v>230000</v>
      </c>
      <c r="AP70" s="67">
        <f t="shared" si="31"/>
        <v>230000</v>
      </c>
      <c r="AQ70" s="34">
        <f t="shared" si="32"/>
        <v>100</v>
      </c>
      <c r="AR70" s="67">
        <f t="shared" si="33"/>
        <v>230000</v>
      </c>
      <c r="AS70" s="34">
        <f t="shared" si="34"/>
        <v>100</v>
      </c>
      <c r="AT70" s="28">
        <f t="shared" si="35"/>
        <v>109.00000000000001</v>
      </c>
      <c r="AU70" s="28">
        <f t="shared" si="36"/>
        <v>179.8</v>
      </c>
      <c r="AV70" s="28">
        <f t="shared" si="37"/>
        <v>288.8</v>
      </c>
      <c r="AW70" s="24">
        <f t="shared" si="38"/>
        <v>1.9999999999999858</v>
      </c>
      <c r="AX70" s="24">
        <f t="shared" si="39"/>
        <v>0</v>
      </c>
      <c r="AY70" s="24">
        <f t="shared" si="40"/>
        <v>2</v>
      </c>
      <c r="AZ70" s="156">
        <f t="shared" si="41"/>
        <v>52272</v>
      </c>
      <c r="BA70" s="35">
        <f t="shared" si="42"/>
        <v>0.2272695652173913</v>
      </c>
      <c r="BB70" s="35">
        <f t="shared" si="43"/>
        <v>25.226921739130436</v>
      </c>
      <c r="BC70" s="36">
        <f t="shared" si="44"/>
        <v>40.86306782608696</v>
      </c>
      <c r="BD70" s="36">
        <f t="shared" si="45"/>
        <v>66.0899895652174</v>
      </c>
      <c r="BE70" s="36" t="str">
        <f t="shared" si="46"/>
        <v>yes</v>
      </c>
      <c r="BF70" s="37">
        <f t="shared" si="47"/>
        <v>0.2272695652173913</v>
      </c>
      <c r="BG70" s="37">
        <f t="shared" si="48"/>
        <v>24.772382608695654</v>
      </c>
      <c r="BH70" s="36">
        <f t="shared" si="49"/>
        <v>40.86306782608696</v>
      </c>
      <c r="BI70" s="38">
        <f t="shared" si="50"/>
        <v>65.63545043478261</v>
      </c>
      <c r="BJ70" s="1" t="str">
        <f t="shared" si="51"/>
        <v>yes</v>
      </c>
      <c r="BK70" s="37">
        <f t="shared" si="55"/>
        <v>0.45453913043478167</v>
      </c>
      <c r="BL70" s="37">
        <f t="shared" si="55"/>
        <v>0</v>
      </c>
      <c r="BM70" s="7">
        <f t="shared" si="53"/>
        <v>0.45453913043478167</v>
      </c>
      <c r="BN70" s="7">
        <f t="shared" si="54"/>
        <v>0</v>
      </c>
    </row>
    <row r="71" spans="2:66" ht="18" customHeight="1">
      <c r="B71" s="4" t="s">
        <v>12</v>
      </c>
      <c r="C71" s="4" t="s">
        <v>95</v>
      </c>
      <c r="D71" s="157" t="s">
        <v>80</v>
      </c>
      <c r="E71" s="158" t="s">
        <v>81</v>
      </c>
      <c r="F71" s="79">
        <f t="shared" si="14"/>
        <v>52272</v>
      </c>
      <c r="G71" s="80">
        <f t="shared" si="15"/>
        <v>40</v>
      </c>
      <c r="H71" s="149">
        <f t="shared" si="16"/>
        <v>4</v>
      </c>
      <c r="I71" s="150">
        <f t="shared" si="17"/>
        <v>66.7945252173913</v>
      </c>
      <c r="J71" s="83">
        <f t="shared" si="18"/>
        <v>71.54445913043479</v>
      </c>
      <c r="K71" s="84">
        <f t="shared" si="19"/>
        <v>72.45353739130435</v>
      </c>
      <c r="L71" s="151">
        <f t="shared" si="20"/>
        <v>30.68139130434783</v>
      </c>
      <c r="M71" s="152">
        <f t="shared" si="21"/>
        <v>31.590469565217393</v>
      </c>
      <c r="N71" s="188">
        <f t="shared" si="22"/>
        <v>0.029629629629629672</v>
      </c>
      <c r="O71" s="153">
        <f t="shared" si="23"/>
        <v>40.86306782608696</v>
      </c>
      <c r="P71" s="154">
        <f t="shared" si="24"/>
        <v>40.86306782608696</v>
      </c>
      <c r="Q71" s="176">
        <f t="shared" si="25"/>
        <v>0</v>
      </c>
      <c r="R71" s="100">
        <f t="shared" si="26"/>
        <v>0.9090782608695633</v>
      </c>
      <c r="S71" s="184">
        <f t="shared" si="27"/>
        <v>0.0127064803049555</v>
      </c>
      <c r="U71" s="208" t="s">
        <v>95</v>
      </c>
      <c r="V71" s="4" t="s">
        <v>12</v>
      </c>
      <c r="X71" s="155">
        <v>122</v>
      </c>
      <c r="Y71" s="155">
        <v>135</v>
      </c>
      <c r="Z71" s="155">
        <v>139</v>
      </c>
      <c r="AA71" s="155">
        <v>171.9</v>
      </c>
      <c r="AB71" s="155"/>
      <c r="AC71" s="155">
        <v>179.8</v>
      </c>
      <c r="AD71" s="155"/>
      <c r="AE71" s="155">
        <v>179.8</v>
      </c>
      <c r="AF71" s="155"/>
      <c r="AG71" s="32">
        <f t="shared" si="28"/>
        <v>293.9</v>
      </c>
      <c r="AH71" s="32">
        <f t="shared" si="29"/>
        <v>314.8</v>
      </c>
      <c r="AI71" s="32">
        <f t="shared" si="30"/>
        <v>318.8</v>
      </c>
      <c r="AJ71" s="33"/>
      <c r="AK71" s="33">
        <v>230000</v>
      </c>
      <c r="AL71" s="33"/>
      <c r="AM71" s="33">
        <v>230000</v>
      </c>
      <c r="AN71" s="33"/>
      <c r="AO71" s="33">
        <v>230000</v>
      </c>
      <c r="AP71" s="67">
        <f t="shared" si="31"/>
        <v>230000</v>
      </c>
      <c r="AQ71" s="34">
        <f t="shared" si="32"/>
        <v>100</v>
      </c>
      <c r="AR71" s="67">
        <f t="shared" si="33"/>
        <v>230000</v>
      </c>
      <c r="AS71" s="34">
        <f t="shared" si="34"/>
        <v>100</v>
      </c>
      <c r="AT71" s="28">
        <f t="shared" si="35"/>
        <v>135</v>
      </c>
      <c r="AU71" s="28">
        <f t="shared" si="36"/>
        <v>179.8</v>
      </c>
      <c r="AV71" s="28">
        <f t="shared" si="37"/>
        <v>314.8</v>
      </c>
      <c r="AW71" s="24">
        <f t="shared" si="38"/>
        <v>4</v>
      </c>
      <c r="AX71" s="24">
        <f t="shared" si="39"/>
        <v>0</v>
      </c>
      <c r="AY71" s="24">
        <f t="shared" si="40"/>
        <v>4</v>
      </c>
      <c r="AZ71" s="156">
        <f t="shared" si="41"/>
        <v>52272</v>
      </c>
      <c r="BA71" s="35">
        <f t="shared" si="42"/>
        <v>0.2272695652173913</v>
      </c>
      <c r="BB71" s="35">
        <f t="shared" si="43"/>
        <v>31.590469565217393</v>
      </c>
      <c r="BC71" s="36">
        <f t="shared" si="44"/>
        <v>40.86306782608696</v>
      </c>
      <c r="BD71" s="36">
        <f t="shared" si="45"/>
        <v>72.45353739130435</v>
      </c>
      <c r="BE71" s="36" t="str">
        <f t="shared" si="46"/>
        <v>yes</v>
      </c>
      <c r="BF71" s="37">
        <f t="shared" si="47"/>
        <v>0.2272695652173913</v>
      </c>
      <c r="BG71" s="37">
        <f t="shared" si="48"/>
        <v>30.68139130434783</v>
      </c>
      <c r="BH71" s="36">
        <f t="shared" si="49"/>
        <v>40.86306782608696</v>
      </c>
      <c r="BI71" s="38">
        <f t="shared" si="50"/>
        <v>71.54445913043479</v>
      </c>
      <c r="BJ71" s="1" t="str">
        <f t="shared" si="51"/>
        <v>yes</v>
      </c>
      <c r="BK71" s="37">
        <f t="shared" si="55"/>
        <v>0.9090782608695633</v>
      </c>
      <c r="BL71" s="37">
        <f t="shared" si="55"/>
        <v>0</v>
      </c>
      <c r="BM71" s="7">
        <f t="shared" si="53"/>
        <v>0.9090782608695633</v>
      </c>
      <c r="BN71" s="7">
        <f t="shared" si="54"/>
        <v>0</v>
      </c>
    </row>
    <row r="72" spans="2:66" ht="18" customHeight="1">
      <c r="B72" s="4" t="s">
        <v>12</v>
      </c>
      <c r="C72" s="4" t="s">
        <v>97</v>
      </c>
      <c r="D72" s="157" t="s">
        <v>80</v>
      </c>
      <c r="E72" s="158" t="s">
        <v>23</v>
      </c>
      <c r="F72" s="79">
        <f t="shared" si="14"/>
        <v>52272</v>
      </c>
      <c r="G72" s="80">
        <f t="shared" si="15"/>
        <v>40</v>
      </c>
      <c r="H72" s="149">
        <f t="shared" si="16"/>
        <v>4</v>
      </c>
      <c r="I72" s="150">
        <f t="shared" si="17"/>
        <v>58.59009391304348</v>
      </c>
      <c r="J72" s="83">
        <f t="shared" si="18"/>
        <v>62.90821565217392</v>
      </c>
      <c r="K72" s="84">
        <f t="shared" si="19"/>
        <v>63.817293913043486</v>
      </c>
      <c r="L72" s="151">
        <f t="shared" si="20"/>
        <v>30.68139130434783</v>
      </c>
      <c r="M72" s="152">
        <f t="shared" si="21"/>
        <v>31.590469565217393</v>
      </c>
      <c r="N72" s="188">
        <f t="shared" si="22"/>
        <v>0.029629629629629672</v>
      </c>
      <c r="O72" s="153">
        <f t="shared" si="23"/>
        <v>32.22682434782609</v>
      </c>
      <c r="P72" s="154">
        <f t="shared" si="24"/>
        <v>32.22682434782609</v>
      </c>
      <c r="Q72" s="176">
        <f t="shared" si="25"/>
        <v>0</v>
      </c>
      <c r="R72" s="100">
        <f t="shared" si="26"/>
        <v>0.9090782608695633</v>
      </c>
      <c r="S72" s="184">
        <f t="shared" si="27"/>
        <v>0.01445086705202309</v>
      </c>
      <c r="U72" s="208" t="s">
        <v>97</v>
      </c>
      <c r="V72" s="4" t="s">
        <v>12</v>
      </c>
      <c r="X72" s="155">
        <v>126</v>
      </c>
      <c r="Y72" s="155">
        <v>135</v>
      </c>
      <c r="Z72" s="155">
        <v>139</v>
      </c>
      <c r="AA72" s="155">
        <v>131.8</v>
      </c>
      <c r="AB72" s="155"/>
      <c r="AC72" s="155">
        <v>141.8</v>
      </c>
      <c r="AD72" s="155"/>
      <c r="AE72" s="155">
        <v>141.8</v>
      </c>
      <c r="AF72" s="155"/>
      <c r="AG72" s="32">
        <f t="shared" si="28"/>
        <v>257.8</v>
      </c>
      <c r="AH72" s="32">
        <f t="shared" si="29"/>
        <v>276.8</v>
      </c>
      <c r="AI72" s="32">
        <f t="shared" si="30"/>
        <v>280.8</v>
      </c>
      <c r="AJ72" s="33"/>
      <c r="AK72" s="33">
        <v>230000</v>
      </c>
      <c r="AL72" s="33"/>
      <c r="AM72" s="33">
        <v>230000</v>
      </c>
      <c r="AN72" s="33"/>
      <c r="AO72" s="33">
        <v>230000</v>
      </c>
      <c r="AP72" s="67">
        <f t="shared" si="31"/>
        <v>230000</v>
      </c>
      <c r="AQ72" s="34">
        <f t="shared" si="32"/>
        <v>100</v>
      </c>
      <c r="AR72" s="67">
        <f t="shared" si="33"/>
        <v>230000</v>
      </c>
      <c r="AS72" s="34">
        <f t="shared" si="34"/>
        <v>100</v>
      </c>
      <c r="AT72" s="28">
        <f t="shared" si="35"/>
        <v>135</v>
      </c>
      <c r="AU72" s="28">
        <f t="shared" si="36"/>
        <v>141.8</v>
      </c>
      <c r="AV72" s="28">
        <f t="shared" si="37"/>
        <v>276.8</v>
      </c>
      <c r="AW72" s="24">
        <f t="shared" si="38"/>
        <v>4</v>
      </c>
      <c r="AX72" s="24">
        <f t="shared" si="39"/>
        <v>0</v>
      </c>
      <c r="AY72" s="24">
        <f t="shared" si="40"/>
        <v>4</v>
      </c>
      <c r="AZ72" s="156">
        <f t="shared" si="41"/>
        <v>52272</v>
      </c>
      <c r="BA72" s="35">
        <f t="shared" si="42"/>
        <v>0.2272695652173913</v>
      </c>
      <c r="BB72" s="35">
        <f t="shared" si="43"/>
        <v>31.590469565217393</v>
      </c>
      <c r="BC72" s="36">
        <f t="shared" si="44"/>
        <v>32.22682434782609</v>
      </c>
      <c r="BD72" s="36">
        <f t="shared" si="45"/>
        <v>63.817293913043486</v>
      </c>
      <c r="BE72" s="36" t="str">
        <f t="shared" si="46"/>
        <v>yes</v>
      </c>
      <c r="BF72" s="37">
        <f t="shared" si="47"/>
        <v>0.2272695652173913</v>
      </c>
      <c r="BG72" s="37">
        <f t="shared" si="48"/>
        <v>30.68139130434783</v>
      </c>
      <c r="BH72" s="36">
        <f t="shared" si="49"/>
        <v>32.22682434782609</v>
      </c>
      <c r="BI72" s="38">
        <f t="shared" si="50"/>
        <v>62.90821565217392</v>
      </c>
      <c r="BJ72" s="1" t="str">
        <f t="shared" si="51"/>
        <v>yes</v>
      </c>
      <c r="BK72" s="37">
        <f t="shared" si="55"/>
        <v>0.9090782608695633</v>
      </c>
      <c r="BL72" s="37">
        <f t="shared" si="55"/>
        <v>0</v>
      </c>
      <c r="BM72" s="7">
        <f t="shared" si="53"/>
        <v>0.9090782608695633</v>
      </c>
      <c r="BN72" s="7">
        <f t="shared" si="54"/>
        <v>0</v>
      </c>
    </row>
    <row r="73" spans="2:66" ht="18" customHeight="1">
      <c r="B73" s="4" t="s">
        <v>12</v>
      </c>
      <c r="C73" s="4" t="s">
        <v>95</v>
      </c>
      <c r="D73" s="157" t="s">
        <v>80</v>
      </c>
      <c r="E73" s="158" t="s">
        <v>50</v>
      </c>
      <c r="F73" s="79">
        <f t="shared" si="14"/>
        <v>52272</v>
      </c>
      <c r="G73" s="80">
        <f t="shared" si="15"/>
        <v>40</v>
      </c>
      <c r="H73" s="149">
        <f t="shared" si="16"/>
        <v>4</v>
      </c>
      <c r="I73" s="150">
        <f t="shared" si="17"/>
        <v>0</v>
      </c>
      <c r="J73" s="83">
        <f t="shared" si="18"/>
        <v>0</v>
      </c>
      <c r="K73" s="84">
        <f t="shared" si="19"/>
        <v>72.45353739130435</v>
      </c>
      <c r="L73" s="151">
        <f t="shared" si="20"/>
      </c>
      <c r="M73" s="152">
        <f t="shared" si="21"/>
        <v>31.590469565217393</v>
      </c>
      <c r="N73" s="188" t="str">
        <f t="shared" si="22"/>
        <v>New</v>
      </c>
      <c r="O73" s="153">
        <f t="shared" si="23"/>
      </c>
      <c r="P73" s="154">
        <f t="shared" si="24"/>
        <v>40.86306782608696</v>
      </c>
      <c r="Q73" s="176" t="str">
        <f t="shared" si="25"/>
        <v>New</v>
      </c>
      <c r="R73" s="100" t="str">
        <f t="shared" si="26"/>
        <v>New</v>
      </c>
      <c r="S73" s="184">
        <f t="shared" si="27"/>
      </c>
      <c r="U73" s="208" t="s">
        <v>95</v>
      </c>
      <c r="V73" s="4" t="s">
        <v>12</v>
      </c>
      <c r="X73" s="155"/>
      <c r="Y73" s="155"/>
      <c r="Z73" s="155">
        <v>139</v>
      </c>
      <c r="AA73" s="155"/>
      <c r="AB73" s="155"/>
      <c r="AC73" s="155"/>
      <c r="AD73" s="155"/>
      <c r="AE73" s="155">
        <v>179.8</v>
      </c>
      <c r="AF73" s="155"/>
      <c r="AG73" s="32">
        <f t="shared" si="28"/>
        <v>0</v>
      </c>
      <c r="AH73" s="32">
        <f t="shared" si="29"/>
        <v>0</v>
      </c>
      <c r="AI73" s="32">
        <f t="shared" si="30"/>
        <v>318.8</v>
      </c>
      <c r="AJ73" s="33"/>
      <c r="AK73" s="33">
        <v>230000</v>
      </c>
      <c r="AL73" s="33"/>
      <c r="AM73" s="33">
        <v>230000</v>
      </c>
      <c r="AN73" s="33"/>
      <c r="AO73" s="33">
        <v>230000</v>
      </c>
      <c r="AP73" s="67">
        <f t="shared" si="31"/>
        <v>230000</v>
      </c>
      <c r="AQ73" s="34">
        <f t="shared" si="32"/>
        <v>100</v>
      </c>
      <c r="AR73" s="67">
        <f t="shared" si="33"/>
        <v>230000</v>
      </c>
      <c r="AS73" s="34">
        <f t="shared" si="34"/>
        <v>100</v>
      </c>
      <c r="AT73" s="28">
        <f t="shared" si="35"/>
      </c>
      <c r="AU73" s="28">
        <f t="shared" si="36"/>
      </c>
      <c r="AV73" s="28">
        <f t="shared" si="37"/>
      </c>
      <c r="AW73" s="24">
        <f t="shared" si="38"/>
      </c>
      <c r="AX73" s="24">
        <f t="shared" si="39"/>
      </c>
      <c r="AY73" s="24" t="str">
        <f t="shared" si="40"/>
        <v>New</v>
      </c>
      <c r="AZ73" s="156">
        <f t="shared" si="41"/>
        <v>52272</v>
      </c>
      <c r="BA73" s="35">
        <f t="shared" si="42"/>
        <v>0.2272695652173913</v>
      </c>
      <c r="BB73" s="35">
        <f t="shared" si="43"/>
        <v>31.590469565217393</v>
      </c>
      <c r="BC73" s="36">
        <f t="shared" si="44"/>
        <v>40.86306782608696</v>
      </c>
      <c r="BD73" s="36">
        <f t="shared" si="45"/>
        <v>72.45353739130435</v>
      </c>
      <c r="BE73" s="36" t="str">
        <f t="shared" si="46"/>
        <v>yes</v>
      </c>
      <c r="BF73" s="37">
        <f t="shared" si="47"/>
        <v>0.2272695652173913</v>
      </c>
      <c r="BG73" s="37">
        <f t="shared" si="48"/>
      </c>
      <c r="BH73" s="36">
        <f t="shared" si="49"/>
        <v>0</v>
      </c>
      <c r="BI73" s="38">
        <f t="shared" si="50"/>
        <v>0</v>
      </c>
      <c r="BJ73" s="1" t="str">
        <f t="shared" si="51"/>
        <v>yes</v>
      </c>
      <c r="BK73" s="37">
        <f t="shared" si="55"/>
      </c>
      <c r="BL73" s="37">
        <f t="shared" si="55"/>
      </c>
      <c r="BM73" s="7">
        <f t="shared" si="53"/>
      </c>
      <c r="BN73" s="7" t="e">
        <f t="shared" si="54"/>
        <v>#VALUE!</v>
      </c>
    </row>
    <row r="74" spans="2:66" ht="18" customHeight="1">
      <c r="B74" s="4" t="s">
        <v>12</v>
      </c>
      <c r="C74" s="4" t="s">
        <v>95</v>
      </c>
      <c r="D74" s="157" t="s">
        <v>80</v>
      </c>
      <c r="E74" s="158" t="s">
        <v>83</v>
      </c>
      <c r="F74" s="79">
        <f t="shared" si="14"/>
        <v>52272</v>
      </c>
      <c r="G74" s="80">
        <f t="shared" si="15"/>
        <v>40</v>
      </c>
      <c r="H74" s="149">
        <f t="shared" si="16"/>
        <v>4</v>
      </c>
      <c r="I74" s="150">
        <f t="shared" si="17"/>
        <v>67.70360347826086</v>
      </c>
      <c r="J74" s="83">
        <f t="shared" si="18"/>
        <v>71.54445913043479</v>
      </c>
      <c r="K74" s="84">
        <f t="shared" si="19"/>
        <v>65.40818086956523</v>
      </c>
      <c r="L74" s="151">
        <f t="shared" si="20"/>
        <v>30.68139130434783</v>
      </c>
      <c r="M74" s="152">
        <f t="shared" si="21"/>
        <v>24.545113043478263</v>
      </c>
      <c r="N74" s="188">
        <f t="shared" si="22"/>
        <v>-0.20000000000000007</v>
      </c>
      <c r="O74" s="153">
        <f t="shared" si="23"/>
        <v>40.86306782608696</v>
      </c>
      <c r="P74" s="154">
        <f t="shared" si="24"/>
        <v>40.86306782608696</v>
      </c>
      <c r="Q74" s="176">
        <f t="shared" si="25"/>
        <v>0</v>
      </c>
      <c r="R74" s="100">
        <f t="shared" si="26"/>
        <v>-6.13627826086956</v>
      </c>
      <c r="S74" s="184">
        <f t="shared" si="27"/>
        <v>-0.08576874205844973</v>
      </c>
      <c r="U74" s="208" t="s">
        <v>95</v>
      </c>
      <c r="V74" s="4" t="s">
        <v>12</v>
      </c>
      <c r="X74" s="155">
        <v>126</v>
      </c>
      <c r="Y74" s="155">
        <v>135</v>
      </c>
      <c r="Z74" s="155">
        <v>108</v>
      </c>
      <c r="AA74" s="155">
        <v>171.9</v>
      </c>
      <c r="AB74" s="155"/>
      <c r="AC74" s="155">
        <v>179.8</v>
      </c>
      <c r="AD74" s="155"/>
      <c r="AE74" s="155">
        <v>179.8</v>
      </c>
      <c r="AF74" s="155"/>
      <c r="AG74" s="32">
        <f t="shared" si="28"/>
        <v>297.9</v>
      </c>
      <c r="AH74" s="32">
        <f t="shared" si="29"/>
        <v>314.8</v>
      </c>
      <c r="AI74" s="32">
        <f t="shared" si="30"/>
        <v>287.8</v>
      </c>
      <c r="AJ74" s="33"/>
      <c r="AK74" s="33">
        <v>230000</v>
      </c>
      <c r="AL74" s="33"/>
      <c r="AM74" s="33">
        <v>230000</v>
      </c>
      <c r="AN74" s="33"/>
      <c r="AO74" s="33">
        <v>230000</v>
      </c>
      <c r="AP74" s="67">
        <f t="shared" si="31"/>
        <v>230000</v>
      </c>
      <c r="AQ74" s="34">
        <f t="shared" si="32"/>
        <v>100</v>
      </c>
      <c r="AR74" s="67">
        <f t="shared" si="33"/>
        <v>230000</v>
      </c>
      <c r="AS74" s="34">
        <f t="shared" si="34"/>
        <v>100</v>
      </c>
      <c r="AT74" s="28">
        <f t="shared" si="35"/>
        <v>135</v>
      </c>
      <c r="AU74" s="28">
        <f t="shared" si="36"/>
        <v>179.8</v>
      </c>
      <c r="AV74" s="28">
        <f t="shared" si="37"/>
        <v>314.8</v>
      </c>
      <c r="AW74" s="24">
        <f t="shared" si="38"/>
        <v>-27</v>
      </c>
      <c r="AX74" s="24">
        <f t="shared" si="39"/>
        <v>0</v>
      </c>
      <c r="AY74" s="24">
        <f t="shared" si="40"/>
        <v>-27</v>
      </c>
      <c r="AZ74" s="156">
        <f t="shared" si="41"/>
        <v>52272</v>
      </c>
      <c r="BA74" s="35">
        <f t="shared" si="42"/>
        <v>0.2272695652173913</v>
      </c>
      <c r="BB74" s="35">
        <f t="shared" si="43"/>
        <v>24.545113043478263</v>
      </c>
      <c r="BC74" s="36">
        <f t="shared" si="44"/>
        <v>40.86306782608696</v>
      </c>
      <c r="BD74" s="36">
        <f t="shared" si="45"/>
        <v>65.40818086956523</v>
      </c>
      <c r="BE74" s="36" t="str">
        <f t="shared" si="46"/>
        <v>yes</v>
      </c>
      <c r="BF74" s="37">
        <f t="shared" si="47"/>
        <v>0.2272695652173913</v>
      </c>
      <c r="BG74" s="37">
        <f t="shared" si="48"/>
        <v>30.68139130434783</v>
      </c>
      <c r="BH74" s="36">
        <f t="shared" si="49"/>
        <v>40.86306782608696</v>
      </c>
      <c r="BI74" s="38">
        <f t="shared" si="50"/>
        <v>71.54445913043479</v>
      </c>
      <c r="BJ74" s="1" t="str">
        <f t="shared" si="51"/>
        <v>yes</v>
      </c>
      <c r="BK74" s="37">
        <f t="shared" si="55"/>
        <v>-6.136278260869567</v>
      </c>
      <c r="BL74" s="37">
        <f t="shared" si="55"/>
        <v>0</v>
      </c>
      <c r="BM74" s="7">
        <f t="shared" si="53"/>
        <v>-6.13627826086956</v>
      </c>
      <c r="BN74" s="7">
        <f t="shared" si="54"/>
        <v>0</v>
      </c>
    </row>
    <row r="75" spans="2:66" ht="18" customHeight="1">
      <c r="B75" s="4" t="s">
        <v>12</v>
      </c>
      <c r="C75" s="4" t="s">
        <v>95</v>
      </c>
      <c r="D75" s="157" t="s">
        <v>80</v>
      </c>
      <c r="E75" s="158" t="s">
        <v>24</v>
      </c>
      <c r="F75" s="79">
        <f t="shared" si="14"/>
        <v>52272</v>
      </c>
      <c r="G75" s="80">
        <f t="shared" si="15"/>
        <v>40</v>
      </c>
      <c r="H75" s="149">
        <f t="shared" si="16"/>
        <v>4</v>
      </c>
      <c r="I75" s="150">
        <f t="shared" si="17"/>
        <v>67.70360347826086</v>
      </c>
      <c r="J75" s="83">
        <f t="shared" si="18"/>
        <v>71.54445913043479</v>
      </c>
      <c r="K75" s="84">
        <f t="shared" si="19"/>
        <v>72.45353739130435</v>
      </c>
      <c r="L75" s="151">
        <f t="shared" si="20"/>
        <v>30.68139130434783</v>
      </c>
      <c r="M75" s="152">
        <f t="shared" si="21"/>
        <v>31.590469565217393</v>
      </c>
      <c r="N75" s="188">
        <f t="shared" si="22"/>
        <v>0.029629629629629672</v>
      </c>
      <c r="O75" s="153">
        <f t="shared" si="23"/>
        <v>40.86306782608696</v>
      </c>
      <c r="P75" s="154">
        <f t="shared" si="24"/>
        <v>40.86306782608696</v>
      </c>
      <c r="Q75" s="176">
        <f t="shared" si="25"/>
        <v>0</v>
      </c>
      <c r="R75" s="100">
        <f t="shared" si="26"/>
        <v>0.9090782608695633</v>
      </c>
      <c r="S75" s="184">
        <f t="shared" si="27"/>
        <v>0.0127064803049555</v>
      </c>
      <c r="U75" s="208" t="s">
        <v>95</v>
      </c>
      <c r="V75" s="4" t="s">
        <v>12</v>
      </c>
      <c r="X75" s="155">
        <v>126</v>
      </c>
      <c r="Y75" s="155">
        <v>135</v>
      </c>
      <c r="Z75" s="155">
        <v>139</v>
      </c>
      <c r="AA75" s="155">
        <v>171.9</v>
      </c>
      <c r="AB75" s="155"/>
      <c r="AC75" s="155">
        <v>179.8</v>
      </c>
      <c r="AD75" s="155"/>
      <c r="AE75" s="155">
        <v>179.8</v>
      </c>
      <c r="AF75" s="155"/>
      <c r="AG75" s="32">
        <f t="shared" si="28"/>
        <v>297.9</v>
      </c>
      <c r="AH75" s="32">
        <f t="shared" si="29"/>
        <v>314.8</v>
      </c>
      <c r="AI75" s="32">
        <f t="shared" si="30"/>
        <v>318.8</v>
      </c>
      <c r="AJ75" s="33"/>
      <c r="AK75" s="33">
        <v>230000</v>
      </c>
      <c r="AL75" s="33"/>
      <c r="AM75" s="33">
        <v>230000</v>
      </c>
      <c r="AN75" s="33"/>
      <c r="AO75" s="33">
        <v>230000</v>
      </c>
      <c r="AP75" s="67">
        <f t="shared" si="31"/>
        <v>230000</v>
      </c>
      <c r="AQ75" s="34">
        <f t="shared" si="32"/>
        <v>100</v>
      </c>
      <c r="AR75" s="67">
        <f t="shared" si="33"/>
        <v>230000</v>
      </c>
      <c r="AS75" s="34">
        <f t="shared" si="34"/>
        <v>100</v>
      </c>
      <c r="AT75" s="28">
        <f t="shared" si="35"/>
        <v>135</v>
      </c>
      <c r="AU75" s="28">
        <f t="shared" si="36"/>
        <v>179.8</v>
      </c>
      <c r="AV75" s="28">
        <f t="shared" si="37"/>
        <v>314.8</v>
      </c>
      <c r="AW75" s="24">
        <f t="shared" si="38"/>
        <v>4</v>
      </c>
      <c r="AX75" s="24">
        <f t="shared" si="39"/>
        <v>0</v>
      </c>
      <c r="AY75" s="24">
        <f t="shared" si="40"/>
        <v>4</v>
      </c>
      <c r="AZ75" s="156">
        <f t="shared" si="41"/>
        <v>52272</v>
      </c>
      <c r="BA75" s="35">
        <f t="shared" si="42"/>
        <v>0.2272695652173913</v>
      </c>
      <c r="BB75" s="35">
        <f t="shared" si="43"/>
        <v>31.590469565217393</v>
      </c>
      <c r="BC75" s="36">
        <f t="shared" si="44"/>
        <v>40.86306782608696</v>
      </c>
      <c r="BD75" s="36">
        <f t="shared" si="45"/>
        <v>72.45353739130435</v>
      </c>
      <c r="BE75" s="36" t="str">
        <f t="shared" si="46"/>
        <v>yes</v>
      </c>
      <c r="BF75" s="37">
        <f t="shared" si="47"/>
        <v>0.2272695652173913</v>
      </c>
      <c r="BG75" s="37">
        <f t="shared" si="48"/>
        <v>30.68139130434783</v>
      </c>
      <c r="BH75" s="36">
        <f t="shared" si="49"/>
        <v>40.86306782608696</v>
      </c>
      <c r="BI75" s="38">
        <f t="shared" si="50"/>
        <v>71.54445913043479</v>
      </c>
      <c r="BJ75" s="1" t="str">
        <f t="shared" si="51"/>
        <v>yes</v>
      </c>
      <c r="BK75" s="37">
        <f t="shared" si="55"/>
        <v>0.9090782608695633</v>
      </c>
      <c r="BL75" s="37">
        <f t="shared" si="55"/>
        <v>0</v>
      </c>
      <c r="BM75" s="7">
        <f t="shared" si="53"/>
        <v>0.9090782608695633</v>
      </c>
      <c r="BN75" s="7">
        <f t="shared" si="54"/>
        <v>0</v>
      </c>
    </row>
    <row r="76" spans="2:66" ht="18" customHeight="1">
      <c r="B76" s="4" t="s">
        <v>12</v>
      </c>
      <c r="C76" s="4" t="s">
        <v>95</v>
      </c>
      <c r="D76" s="157" t="s">
        <v>190</v>
      </c>
      <c r="E76" s="158" t="s">
        <v>132</v>
      </c>
      <c r="F76" s="79">
        <f t="shared" si="14"/>
        <v>52272</v>
      </c>
      <c r="G76" s="80">
        <f t="shared" si="15"/>
        <v>40</v>
      </c>
      <c r="H76" s="149">
        <f t="shared" si="16"/>
        <v>4</v>
      </c>
      <c r="I76" s="150">
        <f t="shared" si="17"/>
        <v>68.9572224</v>
      </c>
      <c r="J76" s="83">
        <f t="shared" si="18"/>
        <v>74.2994208</v>
      </c>
      <c r="K76" s="84">
        <f t="shared" si="19"/>
        <v>75.13577279999998</v>
      </c>
      <c r="L76" s="151">
        <f t="shared" si="20"/>
        <v>33.4436256</v>
      </c>
      <c r="M76" s="152">
        <f t="shared" si="21"/>
        <v>34.279977599999995</v>
      </c>
      <c r="N76" s="188">
        <f t="shared" si="22"/>
        <v>0.025007814942169304</v>
      </c>
      <c r="O76" s="153">
        <f t="shared" si="23"/>
        <v>40.855795199999996</v>
      </c>
      <c r="P76" s="154">
        <f t="shared" si="24"/>
        <v>40.855795199999996</v>
      </c>
      <c r="Q76" s="176">
        <f t="shared" si="25"/>
        <v>0</v>
      </c>
      <c r="R76" s="100">
        <f t="shared" si="26"/>
        <v>0.8363519999999909</v>
      </c>
      <c r="S76" s="184">
        <f t="shared" si="27"/>
        <v>0.011256507668495728</v>
      </c>
      <c r="U76" s="208" t="s">
        <v>95</v>
      </c>
      <c r="V76" s="4" t="s">
        <v>12</v>
      </c>
      <c r="X76" s="162">
        <v>142.9</v>
      </c>
      <c r="Y76" s="162">
        <v>159.95</v>
      </c>
      <c r="Z76" s="162">
        <v>163.95</v>
      </c>
      <c r="AA76" s="31">
        <v>186.9</v>
      </c>
      <c r="AB76" s="31"/>
      <c r="AC76" s="161">
        <v>195.4</v>
      </c>
      <c r="AD76" s="31"/>
      <c r="AE76" s="161">
        <v>195.4</v>
      </c>
      <c r="AF76" s="31"/>
      <c r="AG76" s="32">
        <f t="shared" si="28"/>
        <v>329.8</v>
      </c>
      <c r="AH76" s="32">
        <f t="shared" si="29"/>
        <v>355.35</v>
      </c>
      <c r="AI76" s="32">
        <f t="shared" si="30"/>
        <v>359.35</v>
      </c>
      <c r="AJ76" s="33"/>
      <c r="AK76" s="33">
        <v>250000</v>
      </c>
      <c r="AL76" s="33"/>
      <c r="AM76" s="33">
        <v>250000</v>
      </c>
      <c r="AN76" s="33"/>
      <c r="AO76" s="33">
        <v>250000</v>
      </c>
      <c r="AP76" s="67">
        <f t="shared" si="31"/>
        <v>250000</v>
      </c>
      <c r="AQ76" s="34">
        <f t="shared" si="32"/>
        <v>100</v>
      </c>
      <c r="AR76" s="67">
        <f t="shared" si="33"/>
        <v>250000</v>
      </c>
      <c r="AS76" s="34">
        <f t="shared" si="34"/>
        <v>100</v>
      </c>
      <c r="AT76" s="28">
        <f t="shared" si="35"/>
        <v>159.95</v>
      </c>
      <c r="AU76" s="28">
        <f t="shared" si="36"/>
        <v>195.4</v>
      </c>
      <c r="AV76" s="28">
        <f t="shared" si="37"/>
        <v>355.35</v>
      </c>
      <c r="AW76" s="24">
        <f t="shared" si="38"/>
        <v>4</v>
      </c>
      <c r="AX76" s="24">
        <f t="shared" si="39"/>
        <v>0</v>
      </c>
      <c r="AY76" s="24">
        <f t="shared" si="40"/>
        <v>4</v>
      </c>
      <c r="AZ76" s="156">
        <f t="shared" si="41"/>
        <v>52272</v>
      </c>
      <c r="BA76" s="35">
        <f t="shared" si="42"/>
        <v>0.209088</v>
      </c>
      <c r="BB76" s="35">
        <f t="shared" si="43"/>
        <v>34.279977599999995</v>
      </c>
      <c r="BC76" s="36">
        <f t="shared" si="44"/>
        <v>40.855795199999996</v>
      </c>
      <c r="BD76" s="36">
        <f t="shared" si="45"/>
        <v>75.13577279999998</v>
      </c>
      <c r="BE76" s="36" t="str">
        <f t="shared" si="46"/>
        <v>yes</v>
      </c>
      <c r="BF76" s="37">
        <f t="shared" si="47"/>
        <v>0.209088</v>
      </c>
      <c r="BG76" s="37">
        <f t="shared" si="48"/>
        <v>33.4436256</v>
      </c>
      <c r="BH76" s="36">
        <f t="shared" si="49"/>
        <v>40.855795199999996</v>
      </c>
      <c r="BI76" s="38">
        <f t="shared" si="50"/>
        <v>74.2994208</v>
      </c>
      <c r="BJ76" s="1" t="str">
        <f t="shared" si="51"/>
        <v>yes</v>
      </c>
      <c r="BK76" s="37">
        <f t="shared" si="55"/>
        <v>0.836351999999998</v>
      </c>
      <c r="BL76" s="37">
        <f t="shared" si="55"/>
        <v>0</v>
      </c>
      <c r="BM76" s="7">
        <f t="shared" si="53"/>
        <v>0.8363519999999909</v>
      </c>
      <c r="BN76" s="7">
        <f t="shared" si="54"/>
        <v>0</v>
      </c>
    </row>
    <row r="77" spans="2:66" ht="18" customHeight="1">
      <c r="B77" s="4" t="s">
        <v>12</v>
      </c>
      <c r="C77" s="4" t="s">
        <v>95</v>
      </c>
      <c r="D77" s="205" t="s">
        <v>190</v>
      </c>
      <c r="E77" s="192" t="s">
        <v>133</v>
      </c>
      <c r="F77" s="79">
        <f t="shared" si="14"/>
        <v>52272</v>
      </c>
      <c r="G77" s="80">
        <f t="shared" si="15"/>
        <v>40</v>
      </c>
      <c r="H77" s="149">
        <f t="shared" si="16"/>
        <v>4</v>
      </c>
      <c r="I77" s="150">
        <f t="shared" si="17"/>
        <v>68.9572224</v>
      </c>
      <c r="J77" s="83">
        <f t="shared" si="18"/>
        <v>73.2539808</v>
      </c>
      <c r="K77" s="84">
        <f t="shared" si="19"/>
        <v>69.90857279999999</v>
      </c>
      <c r="L77" s="151">
        <f t="shared" si="20"/>
        <v>32.3981856</v>
      </c>
      <c r="M77" s="152">
        <f t="shared" si="21"/>
        <v>29.052777599999995</v>
      </c>
      <c r="N77" s="188">
        <f t="shared" si="22"/>
        <v>-0.10325911584382064</v>
      </c>
      <c r="O77" s="153">
        <f t="shared" si="23"/>
        <v>40.855795199999996</v>
      </c>
      <c r="P77" s="154">
        <f t="shared" si="24"/>
        <v>40.855795199999996</v>
      </c>
      <c r="Q77" s="176">
        <f t="shared" si="25"/>
        <v>0</v>
      </c>
      <c r="R77" s="100">
        <f t="shared" si="26"/>
        <v>-3.345408000000006</v>
      </c>
      <c r="S77" s="184">
        <f t="shared" si="27"/>
        <v>-0.04566861709718861</v>
      </c>
      <c r="U77" s="208" t="s">
        <v>95</v>
      </c>
      <c r="V77" s="4" t="s">
        <v>12</v>
      </c>
      <c r="X77" s="155">
        <v>142.9</v>
      </c>
      <c r="Y77" s="155">
        <v>154.95</v>
      </c>
      <c r="Z77" s="155">
        <v>138.95</v>
      </c>
      <c r="AA77" s="155">
        <v>186.9</v>
      </c>
      <c r="AB77" s="155"/>
      <c r="AC77" s="161">
        <v>195.4</v>
      </c>
      <c r="AD77" s="155"/>
      <c r="AE77" s="161">
        <v>195.4</v>
      </c>
      <c r="AF77" s="155"/>
      <c r="AG77" s="32">
        <f t="shared" si="28"/>
        <v>329.8</v>
      </c>
      <c r="AH77" s="32">
        <f t="shared" si="29"/>
        <v>350.35</v>
      </c>
      <c r="AI77" s="32">
        <f t="shared" si="30"/>
        <v>334.35</v>
      </c>
      <c r="AJ77" s="33"/>
      <c r="AK77" s="33">
        <v>250000</v>
      </c>
      <c r="AL77" s="33"/>
      <c r="AM77" s="33">
        <v>250000</v>
      </c>
      <c r="AN77" s="33"/>
      <c r="AO77" s="33">
        <v>250000</v>
      </c>
      <c r="AP77" s="67">
        <f t="shared" si="31"/>
        <v>250000</v>
      </c>
      <c r="AQ77" s="34">
        <f t="shared" si="32"/>
        <v>100</v>
      </c>
      <c r="AR77" s="67">
        <f t="shared" si="33"/>
        <v>250000</v>
      </c>
      <c r="AS77" s="34">
        <f t="shared" si="34"/>
        <v>100</v>
      </c>
      <c r="AT77" s="28">
        <f t="shared" si="35"/>
        <v>154.95</v>
      </c>
      <c r="AU77" s="28">
        <f t="shared" si="36"/>
        <v>195.4</v>
      </c>
      <c r="AV77" s="28">
        <f t="shared" si="37"/>
        <v>350.35</v>
      </c>
      <c r="AW77" s="24">
        <f t="shared" si="38"/>
        <v>-16</v>
      </c>
      <c r="AX77" s="24">
        <f t="shared" si="39"/>
        <v>0</v>
      </c>
      <c r="AY77" s="24">
        <f t="shared" si="40"/>
        <v>-16</v>
      </c>
      <c r="AZ77" s="156">
        <f t="shared" si="41"/>
        <v>52272</v>
      </c>
      <c r="BA77" s="35">
        <f t="shared" si="42"/>
        <v>0.209088</v>
      </c>
      <c r="BB77" s="35">
        <f t="shared" si="43"/>
        <v>29.052777599999995</v>
      </c>
      <c r="BC77" s="36">
        <f t="shared" si="44"/>
        <v>40.855795199999996</v>
      </c>
      <c r="BD77" s="36">
        <f t="shared" si="45"/>
        <v>69.90857279999999</v>
      </c>
      <c r="BE77" s="36" t="str">
        <f t="shared" si="46"/>
        <v>yes</v>
      </c>
      <c r="BF77" s="37">
        <f t="shared" si="47"/>
        <v>0.209088</v>
      </c>
      <c r="BG77" s="37">
        <f t="shared" si="48"/>
        <v>32.3981856</v>
      </c>
      <c r="BH77" s="36">
        <f t="shared" si="49"/>
        <v>40.855795199999996</v>
      </c>
      <c r="BI77" s="38">
        <f t="shared" si="50"/>
        <v>73.2539808</v>
      </c>
      <c r="BJ77" s="1" t="str">
        <f t="shared" si="51"/>
        <v>yes</v>
      </c>
      <c r="BK77" s="37">
        <f t="shared" si="55"/>
        <v>-3.3454080000000026</v>
      </c>
      <c r="BL77" s="37">
        <f t="shared" si="55"/>
        <v>0</v>
      </c>
      <c r="BM77" s="7">
        <f t="shared" si="53"/>
        <v>-3.345408000000006</v>
      </c>
      <c r="BN77" s="7">
        <f t="shared" si="54"/>
        <v>0</v>
      </c>
    </row>
    <row r="78" spans="2:66" ht="18" customHeight="1">
      <c r="B78" s="4" t="s">
        <v>12</v>
      </c>
      <c r="C78" s="4" t="s">
        <v>141</v>
      </c>
      <c r="D78" s="157" t="s">
        <v>190</v>
      </c>
      <c r="E78" s="158" t="s">
        <v>28</v>
      </c>
      <c r="F78" s="79">
        <f t="shared" si="14"/>
        <v>52272</v>
      </c>
      <c r="G78" s="80">
        <f t="shared" si="15"/>
        <v>40</v>
      </c>
      <c r="H78" s="149">
        <f t="shared" si="16"/>
        <v>4</v>
      </c>
      <c r="I78" s="150">
        <f t="shared" si="17"/>
        <v>68.9572224</v>
      </c>
      <c r="J78" s="83">
        <f t="shared" si="18"/>
        <v>73.2539808</v>
      </c>
      <c r="K78" s="84">
        <f t="shared" si="19"/>
        <v>73.2539808</v>
      </c>
      <c r="L78" s="151">
        <f t="shared" si="20"/>
        <v>32.3981856</v>
      </c>
      <c r="M78" s="152">
        <f t="shared" si="21"/>
        <v>32.3981856</v>
      </c>
      <c r="N78" s="188">
        <f t="shared" si="22"/>
        <v>0</v>
      </c>
      <c r="O78" s="153">
        <f t="shared" si="23"/>
        <v>40.855795199999996</v>
      </c>
      <c r="P78" s="154">
        <f t="shared" si="24"/>
        <v>40.855795199999996</v>
      </c>
      <c r="Q78" s="176">
        <f t="shared" si="25"/>
        <v>0</v>
      </c>
      <c r="R78" s="100">
        <f t="shared" si="26"/>
        <v>0</v>
      </c>
      <c r="S78" s="184">
        <f t="shared" si="27"/>
        <v>0</v>
      </c>
      <c r="U78" s="208" t="s">
        <v>95</v>
      </c>
      <c r="V78" s="4" t="s">
        <v>12</v>
      </c>
      <c r="X78" s="155">
        <v>142.9</v>
      </c>
      <c r="Y78" s="155">
        <v>154.95</v>
      </c>
      <c r="Z78" s="155">
        <v>154.95</v>
      </c>
      <c r="AA78" s="155">
        <v>186.9</v>
      </c>
      <c r="AB78" s="155"/>
      <c r="AC78" s="161">
        <v>195.4</v>
      </c>
      <c r="AD78" s="155"/>
      <c r="AE78" s="161">
        <v>195.4</v>
      </c>
      <c r="AF78" s="155"/>
      <c r="AG78" s="32">
        <f t="shared" si="28"/>
        <v>329.8</v>
      </c>
      <c r="AH78" s="32">
        <f t="shared" si="29"/>
        <v>350.35</v>
      </c>
      <c r="AI78" s="32">
        <f t="shared" si="30"/>
        <v>350.35</v>
      </c>
      <c r="AJ78" s="33"/>
      <c r="AK78" s="33">
        <v>250000</v>
      </c>
      <c r="AL78" s="33"/>
      <c r="AM78" s="33">
        <v>250000</v>
      </c>
      <c r="AN78" s="33"/>
      <c r="AO78" s="33">
        <v>250000</v>
      </c>
      <c r="AP78" s="67">
        <f t="shared" si="31"/>
        <v>250000</v>
      </c>
      <c r="AQ78" s="34">
        <f t="shared" si="32"/>
        <v>100</v>
      </c>
      <c r="AR78" s="67">
        <f t="shared" si="33"/>
        <v>250000</v>
      </c>
      <c r="AS78" s="34">
        <f t="shared" si="34"/>
        <v>100</v>
      </c>
      <c r="AT78" s="28">
        <f t="shared" si="35"/>
        <v>154.95</v>
      </c>
      <c r="AU78" s="28">
        <f t="shared" si="36"/>
        <v>195.4</v>
      </c>
      <c r="AV78" s="28">
        <f t="shared" si="37"/>
        <v>350.35</v>
      </c>
      <c r="AW78" s="24">
        <f t="shared" si="38"/>
        <v>0</v>
      </c>
      <c r="AX78" s="24">
        <f t="shared" si="39"/>
        <v>0</v>
      </c>
      <c r="AY78" s="24">
        <f t="shared" si="40"/>
        <v>0</v>
      </c>
      <c r="AZ78" s="156">
        <f t="shared" si="41"/>
        <v>52272</v>
      </c>
      <c r="BA78" s="35">
        <f t="shared" si="42"/>
        <v>0.209088</v>
      </c>
      <c r="BB78" s="35">
        <f t="shared" si="43"/>
        <v>32.3981856</v>
      </c>
      <c r="BC78" s="36">
        <f t="shared" si="44"/>
        <v>40.855795199999996</v>
      </c>
      <c r="BD78" s="36">
        <f t="shared" si="45"/>
        <v>73.2539808</v>
      </c>
      <c r="BE78" s="36" t="str">
        <f t="shared" si="46"/>
        <v>yes</v>
      </c>
      <c r="BF78" s="37">
        <f t="shared" si="47"/>
        <v>0.209088</v>
      </c>
      <c r="BG78" s="37">
        <f t="shared" si="48"/>
        <v>32.3981856</v>
      </c>
      <c r="BH78" s="36">
        <f t="shared" si="49"/>
        <v>40.855795199999996</v>
      </c>
      <c r="BI78" s="38">
        <f t="shared" si="50"/>
        <v>73.2539808</v>
      </c>
      <c r="BJ78" s="1" t="str">
        <f t="shared" si="51"/>
        <v>yes</v>
      </c>
      <c r="BK78" s="37">
        <f t="shared" si="55"/>
        <v>0</v>
      </c>
      <c r="BL78" s="37">
        <f t="shared" si="55"/>
        <v>0</v>
      </c>
      <c r="BM78" s="7">
        <f t="shared" si="53"/>
        <v>0</v>
      </c>
      <c r="BN78" s="7">
        <f t="shared" si="54"/>
        <v>0</v>
      </c>
    </row>
    <row r="79" spans="2:66" ht="18" customHeight="1">
      <c r="B79" s="4" t="s">
        <v>12</v>
      </c>
      <c r="C79" s="4" t="s">
        <v>95</v>
      </c>
      <c r="D79" s="157" t="s">
        <v>190</v>
      </c>
      <c r="E79" s="158" t="s">
        <v>134</v>
      </c>
      <c r="F79" s="79">
        <f t="shared" si="14"/>
        <v>52272</v>
      </c>
      <c r="G79" s="80">
        <f t="shared" si="15"/>
        <v>40</v>
      </c>
      <c r="H79" s="149">
        <f t="shared" si="16"/>
        <v>4</v>
      </c>
      <c r="I79" s="150">
        <f t="shared" si="17"/>
        <v>68.9572224</v>
      </c>
      <c r="J79" s="83">
        <f t="shared" si="18"/>
        <v>73.2539808</v>
      </c>
      <c r="K79" s="84">
        <f t="shared" si="19"/>
        <v>69.90857279999999</v>
      </c>
      <c r="L79" s="151">
        <f t="shared" si="20"/>
        <v>32.3981856</v>
      </c>
      <c r="M79" s="152">
        <f t="shared" si="21"/>
        <v>29.052777599999995</v>
      </c>
      <c r="N79" s="188">
        <f t="shared" si="22"/>
        <v>-0.10325911584382064</v>
      </c>
      <c r="O79" s="153">
        <f t="shared" si="23"/>
        <v>40.855795199999996</v>
      </c>
      <c r="P79" s="154">
        <f t="shared" si="24"/>
        <v>40.855795199999996</v>
      </c>
      <c r="Q79" s="176">
        <f t="shared" si="25"/>
        <v>0</v>
      </c>
      <c r="R79" s="100">
        <f t="shared" si="26"/>
        <v>-3.345408000000006</v>
      </c>
      <c r="S79" s="184">
        <f t="shared" si="27"/>
        <v>-0.04566861709718861</v>
      </c>
      <c r="U79" s="208" t="s">
        <v>95</v>
      </c>
      <c r="V79" s="4" t="s">
        <v>12</v>
      </c>
      <c r="X79" s="155">
        <v>142.9</v>
      </c>
      <c r="Y79" s="155">
        <v>154.95</v>
      </c>
      <c r="Z79" s="155">
        <v>138.95</v>
      </c>
      <c r="AA79" s="155">
        <v>186.9</v>
      </c>
      <c r="AB79" s="155"/>
      <c r="AC79" s="161">
        <v>195.4</v>
      </c>
      <c r="AD79" s="155"/>
      <c r="AE79" s="161">
        <v>195.4</v>
      </c>
      <c r="AF79" s="155"/>
      <c r="AG79" s="32">
        <f t="shared" si="28"/>
        <v>329.8</v>
      </c>
      <c r="AH79" s="32">
        <f t="shared" si="29"/>
        <v>350.35</v>
      </c>
      <c r="AI79" s="32">
        <f t="shared" si="30"/>
        <v>334.35</v>
      </c>
      <c r="AJ79" s="33"/>
      <c r="AK79" s="33">
        <v>250000</v>
      </c>
      <c r="AL79" s="33"/>
      <c r="AM79" s="33">
        <v>250000</v>
      </c>
      <c r="AN79" s="33"/>
      <c r="AO79" s="33">
        <v>250000</v>
      </c>
      <c r="AP79" s="67">
        <f t="shared" si="31"/>
        <v>250000</v>
      </c>
      <c r="AQ79" s="34">
        <f t="shared" si="32"/>
        <v>100</v>
      </c>
      <c r="AR79" s="67">
        <f t="shared" si="33"/>
        <v>250000</v>
      </c>
      <c r="AS79" s="34">
        <f t="shared" si="34"/>
        <v>100</v>
      </c>
      <c r="AT79" s="28">
        <f t="shared" si="35"/>
        <v>154.95</v>
      </c>
      <c r="AU79" s="28">
        <f t="shared" si="36"/>
        <v>195.4</v>
      </c>
      <c r="AV79" s="28">
        <f t="shared" si="37"/>
        <v>350.35</v>
      </c>
      <c r="AW79" s="24">
        <f t="shared" si="38"/>
        <v>-16</v>
      </c>
      <c r="AX79" s="24">
        <f t="shared" si="39"/>
        <v>0</v>
      </c>
      <c r="AY79" s="24">
        <f t="shared" si="40"/>
        <v>-16</v>
      </c>
      <c r="AZ79" s="156">
        <f t="shared" si="41"/>
        <v>52272</v>
      </c>
      <c r="BA79" s="35">
        <f t="shared" si="42"/>
        <v>0.209088</v>
      </c>
      <c r="BB79" s="35">
        <f t="shared" si="43"/>
        <v>29.052777599999995</v>
      </c>
      <c r="BC79" s="36">
        <f t="shared" si="44"/>
        <v>40.855795199999996</v>
      </c>
      <c r="BD79" s="36">
        <f t="shared" si="45"/>
        <v>69.90857279999999</v>
      </c>
      <c r="BE79" s="36" t="str">
        <f t="shared" si="46"/>
        <v>yes</v>
      </c>
      <c r="BF79" s="37">
        <f t="shared" si="47"/>
        <v>0.209088</v>
      </c>
      <c r="BG79" s="37">
        <f t="shared" si="48"/>
        <v>32.3981856</v>
      </c>
      <c r="BH79" s="36">
        <f t="shared" si="49"/>
        <v>40.855795199999996</v>
      </c>
      <c r="BI79" s="38">
        <f t="shared" si="50"/>
        <v>73.2539808</v>
      </c>
      <c r="BJ79" s="1" t="str">
        <f t="shared" si="51"/>
        <v>yes</v>
      </c>
      <c r="BK79" s="37">
        <f t="shared" si="55"/>
        <v>-3.3454080000000026</v>
      </c>
      <c r="BL79" s="37">
        <f t="shared" si="55"/>
        <v>0</v>
      </c>
      <c r="BM79" s="7">
        <f t="shared" si="53"/>
        <v>-3.345408000000006</v>
      </c>
      <c r="BN79" s="7">
        <f t="shared" si="54"/>
        <v>0</v>
      </c>
    </row>
    <row r="80" spans="2:66" ht="18" customHeight="1">
      <c r="B80" s="4" t="s">
        <v>12</v>
      </c>
      <c r="C80" s="4" t="s">
        <v>95</v>
      </c>
      <c r="D80" s="157" t="s">
        <v>190</v>
      </c>
      <c r="E80" s="158" t="s">
        <v>135</v>
      </c>
      <c r="F80" s="79">
        <f t="shared" si="14"/>
        <v>52272</v>
      </c>
      <c r="G80" s="80">
        <f t="shared" si="15"/>
        <v>40</v>
      </c>
      <c r="H80" s="149">
        <f t="shared" si="16"/>
        <v>4</v>
      </c>
      <c r="I80" s="150">
        <f t="shared" si="17"/>
        <v>68.9572224</v>
      </c>
      <c r="J80" s="83">
        <f t="shared" si="18"/>
        <v>73.2539808</v>
      </c>
      <c r="K80" s="84">
        <f t="shared" si="19"/>
        <v>73.2539808</v>
      </c>
      <c r="L80" s="151">
        <f t="shared" si="20"/>
        <v>32.3981856</v>
      </c>
      <c r="M80" s="152">
        <f t="shared" si="21"/>
        <v>32.3981856</v>
      </c>
      <c r="N80" s="188">
        <f t="shared" si="22"/>
        <v>0</v>
      </c>
      <c r="O80" s="153">
        <f t="shared" si="23"/>
        <v>40.855795199999996</v>
      </c>
      <c r="P80" s="154">
        <f t="shared" si="24"/>
        <v>40.855795199999996</v>
      </c>
      <c r="Q80" s="176">
        <f t="shared" si="25"/>
        <v>0</v>
      </c>
      <c r="R80" s="100">
        <f t="shared" si="26"/>
        <v>0</v>
      </c>
      <c r="S80" s="184">
        <f t="shared" si="27"/>
        <v>0</v>
      </c>
      <c r="U80" s="208" t="s">
        <v>95</v>
      </c>
      <c r="V80" s="4" t="s">
        <v>12</v>
      </c>
      <c r="X80" s="155">
        <v>142.9</v>
      </c>
      <c r="Y80" s="155">
        <v>154.95</v>
      </c>
      <c r="Z80" s="155">
        <v>154.95</v>
      </c>
      <c r="AA80" s="155">
        <v>186.9</v>
      </c>
      <c r="AB80" s="155"/>
      <c r="AC80" s="161">
        <v>195.4</v>
      </c>
      <c r="AD80" s="155"/>
      <c r="AE80" s="161">
        <v>195.4</v>
      </c>
      <c r="AF80" s="155"/>
      <c r="AG80" s="32">
        <f t="shared" si="28"/>
        <v>329.8</v>
      </c>
      <c r="AH80" s="32">
        <f t="shared" si="29"/>
        <v>350.35</v>
      </c>
      <c r="AI80" s="32">
        <f t="shared" si="30"/>
        <v>350.35</v>
      </c>
      <c r="AJ80" s="33"/>
      <c r="AK80" s="33">
        <v>250000</v>
      </c>
      <c r="AL80" s="33"/>
      <c r="AM80" s="33">
        <v>250000</v>
      </c>
      <c r="AN80" s="33"/>
      <c r="AO80" s="33">
        <v>250000</v>
      </c>
      <c r="AP80" s="67">
        <f t="shared" si="31"/>
        <v>250000</v>
      </c>
      <c r="AQ80" s="34">
        <f t="shared" si="32"/>
        <v>100</v>
      </c>
      <c r="AR80" s="67">
        <f t="shared" si="33"/>
        <v>250000</v>
      </c>
      <c r="AS80" s="34">
        <f t="shared" si="34"/>
        <v>100</v>
      </c>
      <c r="AT80" s="28">
        <f t="shared" si="35"/>
        <v>154.95</v>
      </c>
      <c r="AU80" s="28">
        <f t="shared" si="36"/>
        <v>195.4</v>
      </c>
      <c r="AV80" s="28">
        <f t="shared" si="37"/>
        <v>350.35</v>
      </c>
      <c r="AW80" s="24">
        <f t="shared" si="38"/>
        <v>0</v>
      </c>
      <c r="AX80" s="24">
        <f t="shared" si="39"/>
        <v>0</v>
      </c>
      <c r="AY80" s="24">
        <f t="shared" si="40"/>
        <v>0</v>
      </c>
      <c r="AZ80" s="156">
        <f t="shared" si="41"/>
        <v>52272</v>
      </c>
      <c r="BA80" s="35">
        <f t="shared" si="42"/>
        <v>0.209088</v>
      </c>
      <c r="BB80" s="35">
        <f t="shared" si="43"/>
        <v>32.3981856</v>
      </c>
      <c r="BC80" s="36">
        <f t="shared" si="44"/>
        <v>40.855795199999996</v>
      </c>
      <c r="BD80" s="36">
        <f t="shared" si="45"/>
        <v>73.2539808</v>
      </c>
      <c r="BE80" s="36" t="str">
        <f t="shared" si="46"/>
        <v>yes</v>
      </c>
      <c r="BF80" s="37">
        <f t="shared" si="47"/>
        <v>0.209088</v>
      </c>
      <c r="BG80" s="37">
        <f t="shared" si="48"/>
        <v>32.3981856</v>
      </c>
      <c r="BH80" s="36">
        <f t="shared" si="49"/>
        <v>40.855795199999996</v>
      </c>
      <c r="BI80" s="38">
        <f t="shared" si="50"/>
        <v>73.2539808</v>
      </c>
      <c r="BJ80" s="1" t="str">
        <f t="shared" si="51"/>
        <v>yes</v>
      </c>
      <c r="BK80" s="37">
        <f t="shared" si="55"/>
        <v>0</v>
      </c>
      <c r="BL80" s="37">
        <f t="shared" si="55"/>
        <v>0</v>
      </c>
      <c r="BM80" s="7">
        <f t="shared" si="53"/>
        <v>0</v>
      </c>
      <c r="BN80" s="7">
        <f t="shared" si="54"/>
        <v>0</v>
      </c>
    </row>
    <row r="81" spans="3:66" ht="18" customHeight="1">
      <c r="C81" s="29"/>
      <c r="D81" s="164" t="s">
        <v>190</v>
      </c>
      <c r="E81" s="192" t="s">
        <v>42</v>
      </c>
      <c r="F81" s="79">
        <f t="shared" si="14"/>
        <v>52272</v>
      </c>
      <c r="G81" s="80">
        <f t="shared" si="15"/>
        <v>40</v>
      </c>
      <c r="H81" s="149">
        <f t="shared" si="16"/>
        <v>4</v>
      </c>
      <c r="I81" s="150">
        <f t="shared" si="17"/>
      </c>
      <c r="J81" s="83">
        <f t="shared" si="18"/>
        <v>74.2994208</v>
      </c>
      <c r="K81" s="84">
        <f t="shared" si="19"/>
        <v>75.13577279999998</v>
      </c>
      <c r="L81" s="151">
        <f t="shared" si="20"/>
        <v>33.4436256</v>
      </c>
      <c r="M81" s="152">
        <f t="shared" si="21"/>
        <v>34.279977599999995</v>
      </c>
      <c r="N81" s="188">
        <f t="shared" si="22"/>
        <v>0.025007814942169304</v>
      </c>
      <c r="O81" s="153">
        <f t="shared" si="23"/>
        <v>40.855795199999996</v>
      </c>
      <c r="P81" s="154">
        <f t="shared" si="24"/>
        <v>40.855795199999996</v>
      </c>
      <c r="Q81" s="176">
        <f t="shared" si="25"/>
        <v>0</v>
      </c>
      <c r="R81" s="100">
        <f t="shared" si="26"/>
        <v>0.8363519999999909</v>
      </c>
      <c r="S81" s="184">
        <f t="shared" si="27"/>
        <v>0.011256507668495728</v>
      </c>
      <c r="U81" s="208" t="s">
        <v>95</v>
      </c>
      <c r="V81" s="4" t="s">
        <v>12</v>
      </c>
      <c r="X81" s="39"/>
      <c r="Y81" s="39">
        <v>159.95</v>
      </c>
      <c r="Z81" s="39">
        <v>163.95</v>
      </c>
      <c r="AA81" s="161"/>
      <c r="AB81" s="39"/>
      <c r="AC81" s="161">
        <v>195.4</v>
      </c>
      <c r="AD81" s="39"/>
      <c r="AE81" s="161">
        <v>195.4</v>
      </c>
      <c r="AF81" s="39"/>
      <c r="AG81" s="32">
        <f t="shared" si="28"/>
        <v>0</v>
      </c>
      <c r="AH81" s="32">
        <f t="shared" si="29"/>
        <v>355.35</v>
      </c>
      <c r="AI81" s="32">
        <f t="shared" si="30"/>
        <v>359.35</v>
      </c>
      <c r="AJ81" s="33"/>
      <c r="AK81" s="33"/>
      <c r="AL81" s="33"/>
      <c r="AM81" s="33">
        <v>250000</v>
      </c>
      <c r="AN81" s="33"/>
      <c r="AO81" s="33">
        <v>250000</v>
      </c>
      <c r="AP81" s="67">
        <f t="shared" si="31"/>
        <v>0</v>
      </c>
      <c r="AQ81" s="34" t="str">
        <f t="shared" si="32"/>
        <v>Not Avail.</v>
      </c>
      <c r="AR81" s="67">
        <f t="shared" si="33"/>
        <v>250000</v>
      </c>
      <c r="AS81" s="34">
        <f t="shared" si="34"/>
        <v>100</v>
      </c>
      <c r="AT81" s="28">
        <f t="shared" si="35"/>
        <v>159.95</v>
      </c>
      <c r="AU81" s="28">
        <f t="shared" si="36"/>
        <v>195.4</v>
      </c>
      <c r="AV81" s="28">
        <f t="shared" si="37"/>
        <v>355.35</v>
      </c>
      <c r="AW81" s="24">
        <f t="shared" si="38"/>
        <v>4</v>
      </c>
      <c r="AX81" s="24">
        <f t="shared" si="39"/>
        <v>0</v>
      </c>
      <c r="AY81" s="24">
        <f t="shared" si="40"/>
        <v>4</v>
      </c>
      <c r="AZ81" s="156">
        <f t="shared" si="41"/>
        <v>52272</v>
      </c>
      <c r="BA81" s="35">
        <f t="shared" si="42"/>
        <v>0.209088</v>
      </c>
      <c r="BB81" s="35">
        <f t="shared" si="43"/>
        <v>34.279977599999995</v>
      </c>
      <c r="BC81" s="36">
        <f t="shared" si="44"/>
        <v>40.855795199999996</v>
      </c>
      <c r="BD81" s="36">
        <f t="shared" si="45"/>
        <v>75.13577279999998</v>
      </c>
      <c r="BE81" s="36" t="str">
        <f t="shared" si="46"/>
        <v>yes</v>
      </c>
      <c r="BF81" s="37">
        <f t="shared" si="47"/>
        <v>0.209088</v>
      </c>
      <c r="BG81" s="37">
        <f t="shared" si="48"/>
        <v>33.4436256</v>
      </c>
      <c r="BH81" s="36">
        <f t="shared" si="49"/>
        <v>40.855795199999996</v>
      </c>
      <c r="BI81" s="38">
        <f t="shared" si="50"/>
        <v>74.2994208</v>
      </c>
      <c r="BJ81" s="1" t="str">
        <f t="shared" si="51"/>
        <v>yes</v>
      </c>
      <c r="BK81" s="37">
        <f t="shared" si="55"/>
        <v>0.836351999999998</v>
      </c>
      <c r="BL81" s="37">
        <f t="shared" si="55"/>
        <v>0</v>
      </c>
      <c r="BM81" s="7">
        <f t="shared" si="53"/>
        <v>0.8363519999999909</v>
      </c>
      <c r="BN81" s="7">
        <f t="shared" si="54"/>
        <v>0</v>
      </c>
    </row>
    <row r="82" spans="3:66" ht="18" customHeight="1">
      <c r="C82" s="29"/>
      <c r="D82" s="164" t="s">
        <v>190</v>
      </c>
      <c r="E82" s="192" t="s">
        <v>43</v>
      </c>
      <c r="F82" s="79">
        <f t="shared" si="14"/>
        <v>52272</v>
      </c>
      <c r="G82" s="80">
        <f t="shared" si="15"/>
        <v>40</v>
      </c>
      <c r="H82" s="149">
        <f t="shared" si="16"/>
        <v>4</v>
      </c>
      <c r="I82" s="150">
        <f t="shared" si="17"/>
      </c>
      <c r="J82" s="83">
        <f t="shared" si="18"/>
        <v>74.2994208</v>
      </c>
      <c r="K82" s="84">
        <f t="shared" si="19"/>
        <v>75.13577279999998</v>
      </c>
      <c r="L82" s="151">
        <f t="shared" si="20"/>
        <v>33.4436256</v>
      </c>
      <c r="M82" s="152">
        <f t="shared" si="21"/>
        <v>34.279977599999995</v>
      </c>
      <c r="N82" s="188">
        <f t="shared" si="22"/>
        <v>0.025007814942169304</v>
      </c>
      <c r="O82" s="153">
        <f t="shared" si="23"/>
        <v>40.855795199999996</v>
      </c>
      <c r="P82" s="154">
        <f t="shared" si="24"/>
        <v>40.855795199999996</v>
      </c>
      <c r="Q82" s="176">
        <f t="shared" si="25"/>
        <v>0</v>
      </c>
      <c r="R82" s="100">
        <f t="shared" si="26"/>
        <v>0.8363519999999909</v>
      </c>
      <c r="S82" s="184">
        <f t="shared" si="27"/>
        <v>0.011256507668495728</v>
      </c>
      <c r="U82" s="208" t="s">
        <v>95</v>
      </c>
      <c r="V82" s="4" t="s">
        <v>12</v>
      </c>
      <c r="X82" s="39"/>
      <c r="Y82" s="39">
        <v>159.95</v>
      </c>
      <c r="Z82" s="39">
        <v>163.95</v>
      </c>
      <c r="AA82" s="161"/>
      <c r="AB82" s="39"/>
      <c r="AC82" s="161">
        <v>195.4</v>
      </c>
      <c r="AD82" s="39"/>
      <c r="AE82" s="161">
        <v>195.4</v>
      </c>
      <c r="AF82" s="39"/>
      <c r="AG82" s="32">
        <f t="shared" si="28"/>
        <v>0</v>
      </c>
      <c r="AH82" s="32">
        <f t="shared" si="29"/>
        <v>355.35</v>
      </c>
      <c r="AI82" s="32">
        <f t="shared" si="30"/>
        <v>359.35</v>
      </c>
      <c r="AJ82" s="33"/>
      <c r="AK82" s="33"/>
      <c r="AL82" s="33"/>
      <c r="AM82" s="33">
        <v>250000</v>
      </c>
      <c r="AN82" s="33"/>
      <c r="AO82" s="33">
        <v>250000</v>
      </c>
      <c r="AP82" s="67">
        <f t="shared" si="31"/>
        <v>0</v>
      </c>
      <c r="AQ82" s="34" t="str">
        <f t="shared" si="32"/>
        <v>Not Avail.</v>
      </c>
      <c r="AR82" s="67">
        <f t="shared" si="33"/>
        <v>250000</v>
      </c>
      <c r="AS82" s="34">
        <f t="shared" si="34"/>
        <v>100</v>
      </c>
      <c r="AT82" s="28">
        <f t="shared" si="35"/>
        <v>159.95</v>
      </c>
      <c r="AU82" s="28">
        <f t="shared" si="36"/>
        <v>195.4</v>
      </c>
      <c r="AV82" s="28">
        <f t="shared" si="37"/>
        <v>355.35</v>
      </c>
      <c r="AW82" s="24">
        <f t="shared" si="38"/>
        <v>4</v>
      </c>
      <c r="AX82" s="24">
        <f t="shared" si="39"/>
        <v>0</v>
      </c>
      <c r="AY82" s="24">
        <f t="shared" si="40"/>
        <v>4</v>
      </c>
      <c r="AZ82" s="156">
        <f t="shared" si="41"/>
        <v>52272</v>
      </c>
      <c r="BA82" s="35">
        <f t="shared" si="42"/>
        <v>0.209088</v>
      </c>
      <c r="BB82" s="35">
        <f t="shared" si="43"/>
        <v>34.279977599999995</v>
      </c>
      <c r="BC82" s="36">
        <f t="shared" si="44"/>
        <v>40.855795199999996</v>
      </c>
      <c r="BD82" s="36">
        <f t="shared" si="45"/>
        <v>75.13577279999998</v>
      </c>
      <c r="BE82" s="36" t="str">
        <f t="shared" si="46"/>
        <v>yes</v>
      </c>
      <c r="BF82" s="37">
        <f t="shared" si="47"/>
        <v>0.209088</v>
      </c>
      <c r="BG82" s="37">
        <f t="shared" si="48"/>
        <v>33.4436256</v>
      </c>
      <c r="BH82" s="36">
        <f t="shared" si="49"/>
        <v>40.855795199999996</v>
      </c>
      <c r="BI82" s="38">
        <f t="shared" si="50"/>
        <v>74.2994208</v>
      </c>
      <c r="BJ82" s="1" t="str">
        <f t="shared" si="51"/>
        <v>yes</v>
      </c>
      <c r="BK82" s="37">
        <f t="shared" si="55"/>
        <v>0.836351999999998</v>
      </c>
      <c r="BL82" s="37">
        <f t="shared" si="55"/>
        <v>0</v>
      </c>
      <c r="BM82" s="7">
        <f t="shared" si="53"/>
        <v>0.8363519999999909</v>
      </c>
      <c r="BN82" s="7">
        <f t="shared" si="54"/>
        <v>0</v>
      </c>
    </row>
    <row r="83" spans="3:66" ht="18" customHeight="1">
      <c r="C83" s="29"/>
      <c r="D83" s="164" t="s">
        <v>190</v>
      </c>
      <c r="E83" s="192" t="s">
        <v>44</v>
      </c>
      <c r="F83" s="79">
        <f t="shared" si="14"/>
        <v>52272</v>
      </c>
      <c r="G83" s="80">
        <f t="shared" si="15"/>
        <v>40</v>
      </c>
      <c r="H83" s="149">
        <f t="shared" si="16"/>
        <v>4</v>
      </c>
      <c r="I83" s="150">
        <f t="shared" si="17"/>
      </c>
      <c r="J83" s="83">
        <f t="shared" si="18"/>
        <v>73.2539808</v>
      </c>
      <c r="K83" s="84">
        <f t="shared" si="19"/>
        <v>73.2539808</v>
      </c>
      <c r="L83" s="151">
        <f t="shared" si="20"/>
        <v>32.3981856</v>
      </c>
      <c r="M83" s="152">
        <f t="shared" si="21"/>
        <v>32.3981856</v>
      </c>
      <c r="N83" s="188">
        <f t="shared" si="22"/>
        <v>0</v>
      </c>
      <c r="O83" s="153">
        <f t="shared" si="23"/>
        <v>40.855795199999996</v>
      </c>
      <c r="P83" s="154">
        <f t="shared" si="24"/>
        <v>40.855795199999996</v>
      </c>
      <c r="Q83" s="176">
        <f t="shared" si="25"/>
        <v>0</v>
      </c>
      <c r="R83" s="100">
        <f t="shared" si="26"/>
        <v>0</v>
      </c>
      <c r="S83" s="184">
        <f t="shared" si="27"/>
        <v>0</v>
      </c>
      <c r="U83" s="208" t="s">
        <v>95</v>
      </c>
      <c r="V83" s="4" t="s">
        <v>12</v>
      </c>
      <c r="X83" s="39"/>
      <c r="Y83" s="39">
        <v>154.95</v>
      </c>
      <c r="Z83" s="39">
        <v>154.95</v>
      </c>
      <c r="AA83" s="161"/>
      <c r="AB83" s="39"/>
      <c r="AC83" s="161">
        <v>195.4</v>
      </c>
      <c r="AD83" s="39"/>
      <c r="AE83" s="161">
        <v>195.4</v>
      </c>
      <c r="AF83" s="39"/>
      <c r="AG83" s="32">
        <f t="shared" si="28"/>
        <v>0</v>
      </c>
      <c r="AH83" s="32">
        <f t="shared" si="29"/>
        <v>350.35</v>
      </c>
      <c r="AI83" s="32">
        <f t="shared" si="30"/>
        <v>350.35</v>
      </c>
      <c r="AJ83" s="33"/>
      <c r="AK83" s="33"/>
      <c r="AL83" s="33"/>
      <c r="AM83" s="33">
        <v>250000</v>
      </c>
      <c r="AN83" s="33"/>
      <c r="AO83" s="33">
        <v>250000</v>
      </c>
      <c r="AP83" s="67">
        <f t="shared" si="31"/>
        <v>0</v>
      </c>
      <c r="AQ83" s="34" t="str">
        <f t="shared" si="32"/>
        <v>Not Avail.</v>
      </c>
      <c r="AR83" s="67">
        <f t="shared" si="33"/>
        <v>250000</v>
      </c>
      <c r="AS83" s="34">
        <f t="shared" si="34"/>
        <v>100</v>
      </c>
      <c r="AT83" s="28">
        <f t="shared" si="35"/>
        <v>154.95</v>
      </c>
      <c r="AU83" s="28">
        <f t="shared" si="36"/>
        <v>195.4</v>
      </c>
      <c r="AV83" s="28">
        <f t="shared" si="37"/>
        <v>350.35</v>
      </c>
      <c r="AW83" s="24">
        <f t="shared" si="38"/>
        <v>0</v>
      </c>
      <c r="AX83" s="24">
        <f t="shared" si="39"/>
        <v>0</v>
      </c>
      <c r="AY83" s="24">
        <f t="shared" si="40"/>
        <v>0</v>
      </c>
      <c r="AZ83" s="156">
        <f t="shared" si="41"/>
        <v>52272</v>
      </c>
      <c r="BA83" s="35">
        <f t="shared" si="42"/>
        <v>0.209088</v>
      </c>
      <c r="BB83" s="35">
        <f t="shared" si="43"/>
        <v>32.3981856</v>
      </c>
      <c r="BC83" s="36">
        <f t="shared" si="44"/>
        <v>40.855795199999996</v>
      </c>
      <c r="BD83" s="36">
        <f t="shared" si="45"/>
        <v>73.2539808</v>
      </c>
      <c r="BE83" s="36" t="str">
        <f t="shared" si="46"/>
        <v>yes</v>
      </c>
      <c r="BF83" s="37">
        <f t="shared" si="47"/>
        <v>0.209088</v>
      </c>
      <c r="BG83" s="37">
        <f t="shared" si="48"/>
        <v>32.3981856</v>
      </c>
      <c r="BH83" s="36">
        <f t="shared" si="49"/>
        <v>40.855795199999996</v>
      </c>
      <c r="BI83" s="38">
        <f t="shared" si="50"/>
        <v>73.2539808</v>
      </c>
      <c r="BJ83" s="1" t="str">
        <f t="shared" si="51"/>
        <v>yes</v>
      </c>
      <c r="BK83" s="37">
        <f t="shared" si="55"/>
        <v>0</v>
      </c>
      <c r="BL83" s="37">
        <f t="shared" si="55"/>
        <v>0</v>
      </c>
      <c r="BM83" s="7">
        <f t="shared" si="53"/>
        <v>0</v>
      </c>
      <c r="BN83" s="7">
        <f t="shared" si="54"/>
        <v>0</v>
      </c>
    </row>
    <row r="84" spans="2:66" ht="18" customHeight="1">
      <c r="B84" s="4" t="s">
        <v>12</v>
      </c>
      <c r="C84" s="4" t="s">
        <v>95</v>
      </c>
      <c r="D84" s="157" t="s">
        <v>190</v>
      </c>
      <c r="E84" s="158" t="s">
        <v>29</v>
      </c>
      <c r="F84" s="79">
        <f t="shared" si="14"/>
        <v>52272</v>
      </c>
      <c r="G84" s="80">
        <f t="shared" si="15"/>
        <v>40</v>
      </c>
      <c r="H84" s="149">
        <f t="shared" si="16"/>
        <v>4</v>
      </c>
      <c r="I84" s="150">
        <f t="shared" si="17"/>
        <v>66.87679680000001</v>
      </c>
      <c r="J84" s="83">
        <f t="shared" si="18"/>
        <v>70.1176608</v>
      </c>
      <c r="K84" s="84">
        <f t="shared" si="19"/>
        <v>69.90857279999999</v>
      </c>
      <c r="L84" s="151">
        <f t="shared" si="20"/>
        <v>29.261865599999997</v>
      </c>
      <c r="M84" s="152">
        <f t="shared" si="21"/>
        <v>29.052777599999995</v>
      </c>
      <c r="N84" s="188">
        <f t="shared" si="22"/>
        <v>-0.00714540907466954</v>
      </c>
      <c r="O84" s="153">
        <f t="shared" si="23"/>
        <v>40.855795199999996</v>
      </c>
      <c r="P84" s="154">
        <f t="shared" si="24"/>
        <v>40.855795199999996</v>
      </c>
      <c r="Q84" s="176">
        <f t="shared" si="25"/>
        <v>0</v>
      </c>
      <c r="R84" s="100">
        <f t="shared" si="26"/>
        <v>-0.20908800000000838</v>
      </c>
      <c r="S84" s="184">
        <f t="shared" si="27"/>
        <v>-0.0029819591471598036</v>
      </c>
      <c r="U84" s="208" t="s">
        <v>95</v>
      </c>
      <c r="V84" s="4" t="s">
        <v>12</v>
      </c>
      <c r="X84" s="162">
        <v>132.95</v>
      </c>
      <c r="Y84" s="162">
        <v>139.95</v>
      </c>
      <c r="Z84" s="162">
        <v>138.95</v>
      </c>
      <c r="AA84" s="155">
        <v>186.9</v>
      </c>
      <c r="AB84" s="31"/>
      <c r="AC84" s="161">
        <v>195.4</v>
      </c>
      <c r="AD84" s="31"/>
      <c r="AE84" s="161">
        <v>195.4</v>
      </c>
      <c r="AF84" s="31"/>
      <c r="AG84" s="32">
        <f t="shared" si="28"/>
        <v>319.85</v>
      </c>
      <c r="AH84" s="32">
        <f t="shared" si="29"/>
        <v>335.35</v>
      </c>
      <c r="AI84" s="32">
        <f t="shared" si="30"/>
        <v>334.35</v>
      </c>
      <c r="AJ84" s="33"/>
      <c r="AK84" s="33">
        <v>250000</v>
      </c>
      <c r="AL84" s="33"/>
      <c r="AM84" s="33">
        <v>250000</v>
      </c>
      <c r="AN84" s="33"/>
      <c r="AO84" s="33">
        <v>250000</v>
      </c>
      <c r="AP84" s="67">
        <f t="shared" si="31"/>
        <v>250000</v>
      </c>
      <c r="AQ84" s="34">
        <f t="shared" si="32"/>
        <v>100</v>
      </c>
      <c r="AR84" s="67">
        <f t="shared" si="33"/>
        <v>250000</v>
      </c>
      <c r="AS84" s="34">
        <f t="shared" si="34"/>
        <v>100</v>
      </c>
      <c r="AT84" s="28">
        <f t="shared" si="35"/>
        <v>139.95</v>
      </c>
      <c r="AU84" s="28">
        <f t="shared" si="36"/>
        <v>195.4</v>
      </c>
      <c r="AV84" s="28">
        <f t="shared" si="37"/>
        <v>335.35</v>
      </c>
      <c r="AW84" s="24">
        <f t="shared" si="38"/>
        <v>-1</v>
      </c>
      <c r="AX84" s="24">
        <f t="shared" si="39"/>
        <v>0</v>
      </c>
      <c r="AY84" s="24">
        <f t="shared" si="40"/>
        <v>-1</v>
      </c>
      <c r="AZ84" s="156">
        <f t="shared" si="41"/>
        <v>52272</v>
      </c>
      <c r="BA84" s="35">
        <f t="shared" si="42"/>
        <v>0.209088</v>
      </c>
      <c r="BB84" s="35">
        <f t="shared" si="43"/>
        <v>29.052777599999995</v>
      </c>
      <c r="BC84" s="36">
        <f t="shared" si="44"/>
        <v>40.855795199999996</v>
      </c>
      <c r="BD84" s="36">
        <f t="shared" si="45"/>
        <v>69.90857279999999</v>
      </c>
      <c r="BE84" s="36" t="str">
        <f t="shared" si="46"/>
        <v>yes</v>
      </c>
      <c r="BF84" s="37">
        <f t="shared" si="47"/>
        <v>0.209088</v>
      </c>
      <c r="BG84" s="37">
        <f t="shared" si="48"/>
        <v>29.261865599999997</v>
      </c>
      <c r="BH84" s="36">
        <f t="shared" si="49"/>
        <v>40.855795199999996</v>
      </c>
      <c r="BI84" s="38">
        <f t="shared" si="50"/>
        <v>70.1176608</v>
      </c>
      <c r="BJ84" s="1" t="str">
        <f t="shared" si="51"/>
        <v>yes</v>
      </c>
      <c r="BK84" s="37">
        <f t="shared" si="55"/>
        <v>-0.20908800000000127</v>
      </c>
      <c r="BL84" s="37">
        <f t="shared" si="55"/>
        <v>0</v>
      </c>
      <c r="BM84" s="7">
        <f t="shared" si="53"/>
        <v>-0.20908800000000838</v>
      </c>
      <c r="BN84" s="7">
        <f t="shared" si="54"/>
        <v>0</v>
      </c>
    </row>
    <row r="85" spans="3:66" ht="18" customHeight="1">
      <c r="C85" s="29"/>
      <c r="D85" s="164" t="s">
        <v>190</v>
      </c>
      <c r="E85" s="192" t="s">
        <v>45</v>
      </c>
      <c r="F85" s="79">
        <f t="shared" si="14"/>
        <v>52272</v>
      </c>
      <c r="G85" s="80">
        <f t="shared" si="15"/>
        <v>40</v>
      </c>
      <c r="H85" s="149">
        <f t="shared" si="16"/>
        <v>4</v>
      </c>
      <c r="I85" s="150">
        <f t="shared" si="17"/>
      </c>
      <c r="J85" s="83">
        <f t="shared" si="18"/>
        <v>71.99945279999999</v>
      </c>
      <c r="K85" s="84">
        <f t="shared" si="19"/>
        <v>69.90857279999999</v>
      </c>
      <c r="L85" s="151">
        <f t="shared" si="20"/>
        <v>31.143657599999994</v>
      </c>
      <c r="M85" s="152">
        <f t="shared" si="21"/>
        <v>29.052777599999995</v>
      </c>
      <c r="N85" s="188">
        <f t="shared" si="22"/>
        <v>-0.06713662302786172</v>
      </c>
      <c r="O85" s="153">
        <f t="shared" si="23"/>
        <v>40.855795199999996</v>
      </c>
      <c r="P85" s="154">
        <f t="shared" si="24"/>
        <v>40.855795199999996</v>
      </c>
      <c r="Q85" s="176">
        <f t="shared" si="25"/>
        <v>0</v>
      </c>
      <c r="R85" s="100">
        <f t="shared" si="26"/>
        <v>-2.0908799999999985</v>
      </c>
      <c r="S85" s="184">
        <f t="shared" si="27"/>
        <v>-0.02904022070567735</v>
      </c>
      <c r="U85" s="208" t="s">
        <v>95</v>
      </c>
      <c r="V85" s="4" t="s">
        <v>12</v>
      </c>
      <c r="X85" s="39"/>
      <c r="Y85" s="39">
        <v>148.95</v>
      </c>
      <c r="Z85" s="39">
        <v>138.95</v>
      </c>
      <c r="AA85" s="161"/>
      <c r="AB85" s="39"/>
      <c r="AC85" s="161">
        <v>195.4</v>
      </c>
      <c r="AD85" s="39"/>
      <c r="AE85" s="161">
        <v>195.4</v>
      </c>
      <c r="AF85" s="39"/>
      <c r="AG85" s="32">
        <f t="shared" si="28"/>
        <v>0</v>
      </c>
      <c r="AH85" s="32">
        <f t="shared" si="29"/>
        <v>344.35</v>
      </c>
      <c r="AI85" s="32">
        <f t="shared" si="30"/>
        <v>334.35</v>
      </c>
      <c r="AJ85" s="33"/>
      <c r="AK85" s="33"/>
      <c r="AL85" s="33"/>
      <c r="AM85" s="33">
        <v>250000</v>
      </c>
      <c r="AN85" s="33"/>
      <c r="AO85" s="33">
        <v>250000</v>
      </c>
      <c r="AP85" s="67">
        <f t="shared" si="31"/>
        <v>0</v>
      </c>
      <c r="AQ85" s="34" t="str">
        <f t="shared" si="32"/>
        <v>Not Avail.</v>
      </c>
      <c r="AR85" s="67">
        <f t="shared" si="33"/>
        <v>250000</v>
      </c>
      <c r="AS85" s="34">
        <f t="shared" si="34"/>
        <v>100</v>
      </c>
      <c r="AT85" s="28">
        <f t="shared" si="35"/>
        <v>148.95</v>
      </c>
      <c r="AU85" s="28">
        <f t="shared" si="36"/>
        <v>195.4</v>
      </c>
      <c r="AV85" s="28">
        <f t="shared" si="37"/>
        <v>344.35</v>
      </c>
      <c r="AW85" s="24">
        <f t="shared" si="38"/>
        <v>-10</v>
      </c>
      <c r="AX85" s="24">
        <f t="shared" si="39"/>
        <v>0</v>
      </c>
      <c r="AY85" s="24">
        <f t="shared" si="40"/>
        <v>-10</v>
      </c>
      <c r="AZ85" s="156">
        <f t="shared" si="41"/>
        <v>52272</v>
      </c>
      <c r="BA85" s="35">
        <f t="shared" si="42"/>
        <v>0.209088</v>
      </c>
      <c r="BB85" s="35">
        <f t="shared" si="43"/>
        <v>29.052777599999995</v>
      </c>
      <c r="BC85" s="36">
        <f t="shared" si="44"/>
        <v>40.855795199999996</v>
      </c>
      <c r="BD85" s="36">
        <f t="shared" si="45"/>
        <v>69.90857279999999</v>
      </c>
      <c r="BE85" s="36" t="str">
        <f t="shared" si="46"/>
        <v>yes</v>
      </c>
      <c r="BF85" s="37">
        <f t="shared" si="47"/>
        <v>0.209088</v>
      </c>
      <c r="BG85" s="37">
        <f t="shared" si="48"/>
        <v>31.143657599999994</v>
      </c>
      <c r="BH85" s="36">
        <f t="shared" si="49"/>
        <v>40.855795199999996</v>
      </c>
      <c r="BI85" s="38">
        <f t="shared" si="50"/>
        <v>71.99945279999999</v>
      </c>
      <c r="BJ85" s="1" t="str">
        <f t="shared" si="51"/>
        <v>yes</v>
      </c>
      <c r="BK85" s="37">
        <f t="shared" si="55"/>
        <v>-2.0908799999999985</v>
      </c>
      <c r="BL85" s="37">
        <f t="shared" si="55"/>
        <v>0</v>
      </c>
      <c r="BM85" s="7">
        <f t="shared" si="53"/>
        <v>-2.0908799999999985</v>
      </c>
      <c r="BN85" s="7">
        <f t="shared" si="54"/>
        <v>0</v>
      </c>
    </row>
    <row r="86" spans="3:66" ht="18" customHeight="1">
      <c r="C86" s="29"/>
      <c r="D86" s="164" t="s">
        <v>190</v>
      </c>
      <c r="E86" s="192" t="s">
        <v>46</v>
      </c>
      <c r="F86" s="79">
        <f t="shared" si="14"/>
        <v>52272</v>
      </c>
      <c r="G86" s="80">
        <f t="shared" si="15"/>
        <v>40</v>
      </c>
      <c r="H86" s="149">
        <f t="shared" si="16"/>
        <v>4</v>
      </c>
      <c r="I86" s="150">
        <f t="shared" si="17"/>
      </c>
      <c r="J86" s="83">
        <f t="shared" si="18"/>
        <v>74.2994208</v>
      </c>
      <c r="K86" s="84">
        <f t="shared" si="19"/>
        <v>75.1253184</v>
      </c>
      <c r="L86" s="151">
        <f t="shared" si="20"/>
        <v>33.4436256</v>
      </c>
      <c r="M86" s="152">
        <f t="shared" si="21"/>
        <v>34.269523199999995</v>
      </c>
      <c r="N86" s="188">
        <f t="shared" si="22"/>
        <v>0.024695217255392254</v>
      </c>
      <c r="O86" s="153">
        <f t="shared" si="23"/>
        <v>40.855795199999996</v>
      </c>
      <c r="P86" s="154">
        <f t="shared" si="24"/>
        <v>40.855795199999996</v>
      </c>
      <c r="Q86" s="176">
        <f t="shared" si="25"/>
        <v>0</v>
      </c>
      <c r="R86" s="100">
        <f t="shared" si="26"/>
        <v>0.8258976000000047</v>
      </c>
      <c r="S86" s="184">
        <f t="shared" si="27"/>
        <v>0.011115801322639715</v>
      </c>
      <c r="U86" s="208" t="s">
        <v>95</v>
      </c>
      <c r="V86" s="4" t="s">
        <v>12</v>
      </c>
      <c r="X86" s="39"/>
      <c r="Y86" s="39">
        <v>159.95</v>
      </c>
      <c r="Z86" s="39">
        <v>163.9</v>
      </c>
      <c r="AA86" s="161"/>
      <c r="AB86" s="39"/>
      <c r="AC86" s="161">
        <v>195.4</v>
      </c>
      <c r="AD86" s="39"/>
      <c r="AE86" s="161">
        <v>195.4</v>
      </c>
      <c r="AF86" s="39"/>
      <c r="AG86" s="32">
        <f t="shared" si="28"/>
        <v>0</v>
      </c>
      <c r="AH86" s="32">
        <f t="shared" si="29"/>
        <v>355.35</v>
      </c>
      <c r="AI86" s="32">
        <f t="shared" si="30"/>
        <v>359.3</v>
      </c>
      <c r="AJ86" s="33"/>
      <c r="AK86" s="33"/>
      <c r="AL86" s="33"/>
      <c r="AM86" s="33">
        <v>250000</v>
      </c>
      <c r="AN86" s="33"/>
      <c r="AO86" s="33">
        <v>250000</v>
      </c>
      <c r="AP86" s="67">
        <f t="shared" si="31"/>
        <v>0</v>
      </c>
      <c r="AQ86" s="34" t="str">
        <f t="shared" si="32"/>
        <v>Not Avail.</v>
      </c>
      <c r="AR86" s="67">
        <f t="shared" si="33"/>
        <v>250000</v>
      </c>
      <c r="AS86" s="34">
        <f t="shared" si="34"/>
        <v>100</v>
      </c>
      <c r="AT86" s="28">
        <f t="shared" si="35"/>
        <v>159.95</v>
      </c>
      <c r="AU86" s="28">
        <f t="shared" si="36"/>
        <v>195.4</v>
      </c>
      <c r="AV86" s="28">
        <f t="shared" si="37"/>
        <v>355.35</v>
      </c>
      <c r="AW86" s="24">
        <f t="shared" si="38"/>
        <v>3.950000000000017</v>
      </c>
      <c r="AX86" s="24">
        <f t="shared" si="39"/>
        <v>0</v>
      </c>
      <c r="AY86" s="24">
        <f t="shared" si="40"/>
        <v>3.9499999999999886</v>
      </c>
      <c r="AZ86" s="156">
        <f t="shared" si="41"/>
        <v>52272</v>
      </c>
      <c r="BA86" s="35">
        <f t="shared" si="42"/>
        <v>0.209088</v>
      </c>
      <c r="BB86" s="35">
        <f t="shared" si="43"/>
        <v>34.269523199999995</v>
      </c>
      <c r="BC86" s="36">
        <f t="shared" si="44"/>
        <v>40.855795199999996</v>
      </c>
      <c r="BD86" s="36">
        <f t="shared" si="45"/>
        <v>75.1253184</v>
      </c>
      <c r="BE86" s="36" t="str">
        <f t="shared" si="46"/>
        <v>yes</v>
      </c>
      <c r="BF86" s="37">
        <f t="shared" si="47"/>
        <v>0.209088</v>
      </c>
      <c r="BG86" s="37">
        <f t="shared" si="48"/>
        <v>33.4436256</v>
      </c>
      <c r="BH86" s="36">
        <f t="shared" si="49"/>
        <v>40.855795199999996</v>
      </c>
      <c r="BI86" s="38">
        <f t="shared" si="50"/>
        <v>74.2994208</v>
      </c>
      <c r="BJ86" s="1" t="str">
        <f t="shared" si="51"/>
        <v>yes</v>
      </c>
      <c r="BK86" s="37">
        <f t="shared" si="55"/>
        <v>0.8258975999999976</v>
      </c>
      <c r="BL86" s="37">
        <f t="shared" si="55"/>
        <v>0</v>
      </c>
      <c r="BM86" s="7">
        <f t="shared" si="53"/>
        <v>0.8258976000000047</v>
      </c>
      <c r="BN86" s="7">
        <f t="shared" si="54"/>
        <v>0</v>
      </c>
    </row>
    <row r="87" spans="3:66" ht="18" customHeight="1">
      <c r="C87" s="29"/>
      <c r="D87" s="164" t="s">
        <v>190</v>
      </c>
      <c r="E87" s="192" t="s">
        <v>47</v>
      </c>
      <c r="F87" s="79">
        <f t="shared" si="14"/>
        <v>52272</v>
      </c>
      <c r="G87" s="80">
        <f t="shared" si="15"/>
        <v>40</v>
      </c>
      <c r="H87" s="149">
        <f t="shared" si="16"/>
        <v>4</v>
      </c>
      <c r="I87" s="150">
        <f t="shared" si="17"/>
      </c>
      <c r="J87" s="83">
        <f t="shared" si="18"/>
        <v>74.2994208</v>
      </c>
      <c r="K87" s="84">
        <f t="shared" si="19"/>
        <v>75.13577279999998</v>
      </c>
      <c r="L87" s="151">
        <f t="shared" si="20"/>
        <v>33.4436256</v>
      </c>
      <c r="M87" s="152">
        <f t="shared" si="21"/>
        <v>34.279977599999995</v>
      </c>
      <c r="N87" s="188">
        <f t="shared" si="22"/>
        <v>0.025007814942169304</v>
      </c>
      <c r="O87" s="153">
        <f t="shared" si="23"/>
        <v>40.855795199999996</v>
      </c>
      <c r="P87" s="154">
        <f t="shared" si="24"/>
        <v>40.855795199999996</v>
      </c>
      <c r="Q87" s="176">
        <f t="shared" si="25"/>
        <v>0</v>
      </c>
      <c r="R87" s="100">
        <f t="shared" si="26"/>
        <v>0.8363519999999909</v>
      </c>
      <c r="S87" s="184">
        <f t="shared" si="27"/>
        <v>0.011256507668495728</v>
      </c>
      <c r="U87" s="208" t="s">
        <v>95</v>
      </c>
      <c r="V87" s="4" t="s">
        <v>12</v>
      </c>
      <c r="X87" s="39"/>
      <c r="Y87" s="39">
        <v>159.95</v>
      </c>
      <c r="Z87" s="39">
        <v>163.95</v>
      </c>
      <c r="AA87" s="161"/>
      <c r="AB87" s="39"/>
      <c r="AC87" s="161">
        <v>195.4</v>
      </c>
      <c r="AD87" s="39"/>
      <c r="AE87" s="161">
        <v>195.4</v>
      </c>
      <c r="AF87" s="39"/>
      <c r="AG87" s="32">
        <f t="shared" si="28"/>
        <v>0</v>
      </c>
      <c r="AH87" s="32">
        <f t="shared" si="29"/>
        <v>355.35</v>
      </c>
      <c r="AI87" s="32">
        <f t="shared" si="30"/>
        <v>359.35</v>
      </c>
      <c r="AJ87" s="33"/>
      <c r="AK87" s="33"/>
      <c r="AL87" s="33"/>
      <c r="AM87" s="33">
        <v>250000</v>
      </c>
      <c r="AN87" s="33"/>
      <c r="AO87" s="33">
        <v>250000</v>
      </c>
      <c r="AP87" s="67">
        <f t="shared" si="31"/>
        <v>0</v>
      </c>
      <c r="AQ87" s="34" t="str">
        <f t="shared" si="32"/>
        <v>Not Avail.</v>
      </c>
      <c r="AR87" s="67">
        <f t="shared" si="33"/>
        <v>250000</v>
      </c>
      <c r="AS87" s="34">
        <f t="shared" si="34"/>
        <v>100</v>
      </c>
      <c r="AT87" s="28">
        <f t="shared" si="35"/>
        <v>159.95</v>
      </c>
      <c r="AU87" s="28">
        <f t="shared" si="36"/>
        <v>195.4</v>
      </c>
      <c r="AV87" s="28">
        <f t="shared" si="37"/>
        <v>355.35</v>
      </c>
      <c r="AW87" s="24">
        <f t="shared" si="38"/>
        <v>4</v>
      </c>
      <c r="AX87" s="24">
        <f t="shared" si="39"/>
        <v>0</v>
      </c>
      <c r="AY87" s="24">
        <f t="shared" si="40"/>
        <v>4</v>
      </c>
      <c r="AZ87" s="156">
        <f t="shared" si="41"/>
        <v>52272</v>
      </c>
      <c r="BA87" s="35">
        <f t="shared" si="42"/>
        <v>0.209088</v>
      </c>
      <c r="BB87" s="35">
        <f t="shared" si="43"/>
        <v>34.279977599999995</v>
      </c>
      <c r="BC87" s="36">
        <f t="shared" si="44"/>
        <v>40.855795199999996</v>
      </c>
      <c r="BD87" s="36">
        <f t="shared" si="45"/>
        <v>75.13577279999998</v>
      </c>
      <c r="BE87" s="36" t="str">
        <f t="shared" si="46"/>
        <v>yes</v>
      </c>
      <c r="BF87" s="37">
        <f t="shared" si="47"/>
        <v>0.209088</v>
      </c>
      <c r="BG87" s="37">
        <f t="shared" si="48"/>
        <v>33.4436256</v>
      </c>
      <c r="BH87" s="36">
        <f t="shared" si="49"/>
        <v>40.855795199999996</v>
      </c>
      <c r="BI87" s="38">
        <f t="shared" si="50"/>
        <v>74.2994208</v>
      </c>
      <c r="BJ87" s="1" t="str">
        <f t="shared" si="51"/>
        <v>yes</v>
      </c>
      <c r="BK87" s="37">
        <f t="shared" si="55"/>
        <v>0.836351999999998</v>
      </c>
      <c r="BL87" s="37">
        <f t="shared" si="55"/>
        <v>0</v>
      </c>
      <c r="BM87" s="7">
        <f t="shared" si="53"/>
        <v>0.8363519999999909</v>
      </c>
      <c r="BN87" s="7">
        <f t="shared" si="54"/>
        <v>0</v>
      </c>
    </row>
    <row r="88" spans="3:66" ht="18" customHeight="1">
      <c r="C88" s="29"/>
      <c r="D88" s="164" t="s">
        <v>190</v>
      </c>
      <c r="E88" s="192" t="s">
        <v>48</v>
      </c>
      <c r="F88" s="79">
        <f t="shared" si="14"/>
        <v>52272</v>
      </c>
      <c r="G88" s="80">
        <f t="shared" si="15"/>
        <v>40</v>
      </c>
      <c r="H88" s="149">
        <f t="shared" si="16"/>
        <v>4</v>
      </c>
      <c r="I88" s="150">
        <f>IF(AK88="","",IF($F88&gt;0,($F88/$AK88)*AG88,IF($G88&gt;0,(((43560/($G88/12))*$H88)/$AK88)*AG88,0)))</f>
      </c>
      <c r="J88" s="83">
        <f>BI88</f>
        <v>73.2539808</v>
      </c>
      <c r="K88" s="84">
        <f>BD88</f>
        <v>75.13577279999998</v>
      </c>
      <c r="L88" s="151">
        <f>BG88</f>
        <v>32.3981856</v>
      </c>
      <c r="M88" s="152">
        <f>BB88</f>
        <v>34.279977599999995</v>
      </c>
      <c r="N88" s="188">
        <f>IF(R88="New","New",(M88/L88)-1)</f>
        <v>0.05808325266214909</v>
      </c>
      <c r="O88" s="153">
        <f>IF(AW88="","",BH88)</f>
        <v>40.855795199999996</v>
      </c>
      <c r="P88" s="154">
        <f>IF(BC88="","",BC88)</f>
        <v>40.855795199999996</v>
      </c>
      <c r="Q88" s="176">
        <f>IF(R88="New","New",IF(AX88="","",(P88/O88)-1))</f>
        <v>0</v>
      </c>
      <c r="R88" s="100">
        <f>IF(J88="","New",IF(J88=0,"New",K88-J88))</f>
        <v>1.8817919999999901</v>
      </c>
      <c r="S88" s="184">
        <f>IF(R88="New","",R88/J88)</f>
        <v>0.025688597117168414</v>
      </c>
      <c r="U88" s="208" t="s">
        <v>95</v>
      </c>
      <c r="V88" s="4" t="s">
        <v>12</v>
      </c>
      <c r="X88" s="39"/>
      <c r="Y88" s="155">
        <v>154.95</v>
      </c>
      <c r="Z88" s="39">
        <v>163.95</v>
      </c>
      <c r="AA88" s="161"/>
      <c r="AB88" s="39"/>
      <c r="AC88" s="161">
        <v>195.4</v>
      </c>
      <c r="AD88" s="39"/>
      <c r="AE88" s="161">
        <v>195.4</v>
      </c>
      <c r="AF88" s="39"/>
      <c r="AG88" s="32">
        <f t="shared" si="28"/>
        <v>0</v>
      </c>
      <c r="AH88" s="32">
        <f t="shared" si="29"/>
        <v>350.35</v>
      </c>
      <c r="AI88" s="32">
        <f t="shared" si="30"/>
        <v>359.35</v>
      </c>
      <c r="AJ88" s="33"/>
      <c r="AK88" s="33"/>
      <c r="AL88" s="33"/>
      <c r="AM88" s="33">
        <v>250000</v>
      </c>
      <c r="AN88" s="33"/>
      <c r="AO88" s="33">
        <v>250000</v>
      </c>
      <c r="AP88" s="67">
        <f>AK88</f>
        <v>0</v>
      </c>
      <c r="AQ88" s="34" t="str">
        <f>IF(AK88&gt;0,AM88/AK88*100,"Not Avail.")</f>
        <v>Not Avail.</v>
      </c>
      <c r="AR88" s="67">
        <f>AM88</f>
        <v>250000</v>
      </c>
      <c r="AS88" s="34">
        <f>IF(AM88&gt;0,AO88/AM88*100,"Not Avail.")</f>
        <v>100</v>
      </c>
      <c r="AT88" s="28">
        <f t="shared" si="35"/>
        <v>154.95</v>
      </c>
      <c r="AU88" s="28">
        <f t="shared" si="36"/>
        <v>195.4</v>
      </c>
      <c r="AV88" s="28">
        <f>IF(AT88="","",SUM(AT88:AU88))</f>
        <v>350.35</v>
      </c>
      <c r="AW88" s="24">
        <f t="shared" si="38"/>
        <v>9</v>
      </c>
      <c r="AX88" s="24">
        <f t="shared" si="39"/>
        <v>0</v>
      </c>
      <c r="AY88" s="24">
        <f>IF(AH88&gt;0,AI88-AV88,"New")</f>
        <v>9</v>
      </c>
      <c r="AZ88" s="156">
        <f>F88</f>
        <v>52272</v>
      </c>
      <c r="BA88" s="35">
        <f t="shared" si="42"/>
        <v>0.209088</v>
      </c>
      <c r="BB88" s="35">
        <f t="shared" si="43"/>
        <v>34.279977599999995</v>
      </c>
      <c r="BC88" s="36">
        <f t="shared" si="44"/>
        <v>40.855795199999996</v>
      </c>
      <c r="BD88" s="36">
        <f>BB88+BC88</f>
        <v>75.13577279999998</v>
      </c>
      <c r="BE88" s="36" t="str">
        <f>IF(BD88=K88,"yes","no")</f>
        <v>yes</v>
      </c>
      <c r="BF88" s="37">
        <f>IF(AM88="","",IF($F88&gt;0,($F88/AM88),IF($G88&gt;0,((((43560/($G88/12))*$H88)/$AM88)),0)))</f>
        <v>0.209088</v>
      </c>
      <c r="BG88" s="37">
        <f t="shared" si="48"/>
        <v>32.3981856</v>
      </c>
      <c r="BH88" s="36">
        <f t="shared" si="49"/>
        <v>40.855795199999996</v>
      </c>
      <c r="BI88" s="38">
        <f>SUM(BG88:BH88)</f>
        <v>73.2539808</v>
      </c>
      <c r="BJ88" s="1" t="str">
        <f>IF(J88=BI88,"yes","no")</f>
        <v>yes</v>
      </c>
      <c r="BK88" s="37">
        <f>IF(BG88="","",IF(BG88=0,"",BB88-BG88))</f>
        <v>1.8817919999999972</v>
      </c>
      <c r="BL88" s="37">
        <f>IF(BH88="","",IF(BH88=0,"",BC88-BH88))</f>
        <v>0</v>
      </c>
      <c r="BM88" s="7">
        <f>IF(BK88="","",BD88-BI88)</f>
        <v>1.8817919999999901</v>
      </c>
      <c r="BN88" s="7">
        <f>R88-BM88</f>
        <v>0</v>
      </c>
    </row>
    <row r="89" spans="3:66" ht="18" customHeight="1">
      <c r="C89" s="29"/>
      <c r="D89" s="164" t="s">
        <v>190</v>
      </c>
      <c r="E89" s="192" t="s">
        <v>49</v>
      </c>
      <c r="F89" s="79">
        <f t="shared" si="14"/>
        <v>52272</v>
      </c>
      <c r="G89" s="80">
        <f t="shared" si="15"/>
        <v>40</v>
      </c>
      <c r="H89" s="149">
        <f t="shared" si="16"/>
        <v>4</v>
      </c>
      <c r="I89" s="150">
        <f>IF(AK89="","",IF($F89&gt;0,($F89/$AK89)*AG89,IF($G89&gt;0,(((43560/($G89/12))*$H89)/$AK89)*AG89,0)))</f>
      </c>
      <c r="J89" s="83">
        <f>BI89</f>
        <v>73.2539808</v>
      </c>
      <c r="K89" s="84">
        <f>BD89</f>
        <v>75.13577279999998</v>
      </c>
      <c r="L89" s="151">
        <f>BG89</f>
        <v>32.3981856</v>
      </c>
      <c r="M89" s="152">
        <f>BB89</f>
        <v>34.279977599999995</v>
      </c>
      <c r="N89" s="188">
        <f>IF(R89="New","New",(M89/L89)-1)</f>
        <v>0.05808325266214909</v>
      </c>
      <c r="O89" s="153">
        <f>IF(AW89="","",BH89)</f>
        <v>40.855795199999996</v>
      </c>
      <c r="P89" s="154">
        <f>IF(BC89="","",BC89)</f>
        <v>40.855795199999996</v>
      </c>
      <c r="Q89" s="176">
        <f>IF(R89="New","New",IF(AX89="","",(P89/O89)-1))</f>
        <v>0</v>
      </c>
      <c r="R89" s="100">
        <f>IF(J89="","New",IF(J89=0,"New",K89-J89))</f>
        <v>1.8817919999999901</v>
      </c>
      <c r="S89" s="184">
        <f>IF(R89="New","",R89/J89)</f>
        <v>0.025688597117168414</v>
      </c>
      <c r="U89" s="208" t="s">
        <v>95</v>
      </c>
      <c r="V89" s="4" t="s">
        <v>12</v>
      </c>
      <c r="X89" s="39"/>
      <c r="Y89" s="155">
        <v>154.95</v>
      </c>
      <c r="Z89" s="39">
        <v>163.95</v>
      </c>
      <c r="AA89" s="161"/>
      <c r="AB89" s="39"/>
      <c r="AC89" s="161">
        <v>195.4</v>
      </c>
      <c r="AD89" s="39"/>
      <c r="AE89" s="161">
        <v>195.4</v>
      </c>
      <c r="AF89" s="39"/>
      <c r="AG89" s="32">
        <f t="shared" si="28"/>
        <v>0</v>
      </c>
      <c r="AH89" s="32">
        <f t="shared" si="29"/>
        <v>350.35</v>
      </c>
      <c r="AI89" s="32">
        <f t="shared" si="30"/>
        <v>359.35</v>
      </c>
      <c r="AJ89" s="33"/>
      <c r="AK89" s="33"/>
      <c r="AL89" s="33"/>
      <c r="AM89" s="33">
        <v>250000</v>
      </c>
      <c r="AN89" s="33"/>
      <c r="AO89" s="33">
        <v>250000</v>
      </c>
      <c r="AP89" s="67">
        <f>AK89</f>
        <v>0</v>
      </c>
      <c r="AQ89" s="34" t="str">
        <f>IF(AK89&gt;0,AM89/AK89*100,"Not Avail.")</f>
        <v>Not Avail.</v>
      </c>
      <c r="AR89" s="67">
        <f>AM89</f>
        <v>250000</v>
      </c>
      <c r="AS89" s="34">
        <f>IF(AM89&gt;0,AO89/AM89*100,"Not Avail.")</f>
        <v>100</v>
      </c>
      <c r="AT89" s="28">
        <f t="shared" si="35"/>
        <v>154.95</v>
      </c>
      <c r="AU89" s="28">
        <f t="shared" si="36"/>
        <v>195.4</v>
      </c>
      <c r="AV89" s="28">
        <f>IF(AT89="","",SUM(AT89:AU89))</f>
        <v>350.35</v>
      </c>
      <c r="AW89" s="24">
        <f t="shared" si="38"/>
        <v>9</v>
      </c>
      <c r="AX89" s="24">
        <f t="shared" si="39"/>
        <v>0</v>
      </c>
      <c r="AY89" s="24">
        <f>IF(AH89&gt;0,AI89-AV89,"New")</f>
        <v>9</v>
      </c>
      <c r="AZ89" s="156">
        <f>F89</f>
        <v>52272</v>
      </c>
      <c r="BA89" s="35">
        <f t="shared" si="42"/>
        <v>0.209088</v>
      </c>
      <c r="BB89" s="35">
        <f t="shared" si="43"/>
        <v>34.279977599999995</v>
      </c>
      <c r="BC89" s="36">
        <f t="shared" si="44"/>
        <v>40.855795199999996</v>
      </c>
      <c r="BD89" s="36">
        <f>BB89+BC89</f>
        <v>75.13577279999998</v>
      </c>
      <c r="BE89" s="36" t="str">
        <f>IF(BD89=K89,"yes","no")</f>
        <v>yes</v>
      </c>
      <c r="BF89" s="37">
        <f>IF(AM89="","",IF($F89&gt;0,($F89/AM89),IF($G89&gt;0,((((43560/($G89/12))*$H89)/$AM89)),0)))</f>
        <v>0.209088</v>
      </c>
      <c r="BG89" s="37">
        <f t="shared" si="48"/>
        <v>32.3981856</v>
      </c>
      <c r="BH89" s="36">
        <f t="shared" si="49"/>
        <v>40.855795199999996</v>
      </c>
      <c r="BI89" s="38">
        <f>SUM(BG89:BH89)</f>
        <v>73.2539808</v>
      </c>
      <c r="BJ89" s="1" t="str">
        <f>IF(J89=BI89,"yes","no")</f>
        <v>yes</v>
      </c>
      <c r="BK89" s="37">
        <f>IF(BG89="","",IF(BG89=0,"",BB89-BG89))</f>
        <v>1.8817919999999972</v>
      </c>
      <c r="BL89" s="37">
        <f>IF(BH89="","",IF(BH89=0,"",BC89-BH89))</f>
        <v>0</v>
      </c>
      <c r="BM89" s="7">
        <f>IF(BK89="","",BD89-BI89)</f>
        <v>1.8817919999999901</v>
      </c>
      <c r="BN89" s="7">
        <f>R89-BM89</f>
        <v>0</v>
      </c>
    </row>
    <row r="90" spans="2:66" ht="18" customHeight="1">
      <c r="B90" s="4" t="s">
        <v>12</v>
      </c>
      <c r="C90" s="4" t="s">
        <v>97</v>
      </c>
      <c r="D90" s="157" t="s">
        <v>190</v>
      </c>
      <c r="E90" s="158" t="s">
        <v>234</v>
      </c>
      <c r="F90" s="79">
        <f t="shared" si="14"/>
        <v>52272</v>
      </c>
      <c r="G90" s="80">
        <f t="shared" si="15"/>
        <v>40</v>
      </c>
      <c r="H90" s="149">
        <f t="shared" si="16"/>
        <v>4</v>
      </c>
      <c r="I90" s="150">
        <f t="shared" si="17"/>
        <v>58.617820800000004</v>
      </c>
      <c r="J90" s="83">
        <f t="shared" si="18"/>
        <v>61.48232639999999</v>
      </c>
      <c r="K90" s="84">
        <f t="shared" si="19"/>
        <v>61.2732384</v>
      </c>
      <c r="L90" s="151">
        <f t="shared" si="20"/>
        <v>29.261865599999997</v>
      </c>
      <c r="M90" s="152">
        <f t="shared" si="21"/>
        <v>29.052777599999995</v>
      </c>
      <c r="N90" s="188">
        <f t="shared" si="22"/>
        <v>-0.00714540907466954</v>
      </c>
      <c r="O90" s="153">
        <f t="shared" si="23"/>
        <v>32.2204608</v>
      </c>
      <c r="P90" s="154">
        <f t="shared" si="24"/>
        <v>32.2204608</v>
      </c>
      <c r="Q90" s="176">
        <f t="shared" si="25"/>
        <v>0</v>
      </c>
      <c r="R90" s="100">
        <f t="shared" si="26"/>
        <v>-0.20908799999999417</v>
      </c>
      <c r="S90" s="184">
        <f t="shared" si="27"/>
        <v>-0.003400782179901283</v>
      </c>
      <c r="U90" s="208" t="s">
        <v>97</v>
      </c>
      <c r="V90" s="4" t="s">
        <v>12</v>
      </c>
      <c r="X90" s="155">
        <v>137.15</v>
      </c>
      <c r="Y90" s="155">
        <v>139.95</v>
      </c>
      <c r="Z90" s="155">
        <v>138.95</v>
      </c>
      <c r="AA90" s="155">
        <v>143.2</v>
      </c>
      <c r="AB90" s="155"/>
      <c r="AC90" s="155">
        <v>154.1</v>
      </c>
      <c r="AD90" s="155"/>
      <c r="AE90" s="155">
        <v>154.1</v>
      </c>
      <c r="AF90" s="155"/>
      <c r="AG90" s="32">
        <f t="shared" si="28"/>
        <v>280.35</v>
      </c>
      <c r="AH90" s="32">
        <f t="shared" si="29"/>
        <v>294.04999999999995</v>
      </c>
      <c r="AI90" s="32">
        <f t="shared" si="30"/>
        <v>293.04999999999995</v>
      </c>
      <c r="AJ90" s="33"/>
      <c r="AK90" s="33">
        <v>250000</v>
      </c>
      <c r="AL90" s="33"/>
      <c r="AM90" s="33">
        <v>250000</v>
      </c>
      <c r="AN90" s="33"/>
      <c r="AO90" s="33">
        <v>250000</v>
      </c>
      <c r="AP90" s="67">
        <f t="shared" si="31"/>
        <v>250000</v>
      </c>
      <c r="AQ90" s="34">
        <f t="shared" si="32"/>
        <v>100</v>
      </c>
      <c r="AR90" s="67">
        <f t="shared" si="33"/>
        <v>250000</v>
      </c>
      <c r="AS90" s="34">
        <f t="shared" si="34"/>
        <v>100</v>
      </c>
      <c r="AT90" s="28">
        <f t="shared" si="35"/>
        <v>139.95</v>
      </c>
      <c r="AU90" s="28">
        <f t="shared" si="36"/>
        <v>154.1</v>
      </c>
      <c r="AV90" s="28">
        <f t="shared" si="37"/>
        <v>294.04999999999995</v>
      </c>
      <c r="AW90" s="24">
        <f t="shared" si="38"/>
        <v>-1</v>
      </c>
      <c r="AX90" s="24">
        <f t="shared" si="39"/>
        <v>0</v>
      </c>
      <c r="AY90" s="24">
        <f t="shared" si="40"/>
        <v>-1</v>
      </c>
      <c r="AZ90" s="156">
        <f t="shared" si="41"/>
        <v>52272</v>
      </c>
      <c r="BA90" s="35">
        <f t="shared" si="42"/>
        <v>0.209088</v>
      </c>
      <c r="BB90" s="35">
        <f t="shared" si="43"/>
        <v>29.052777599999995</v>
      </c>
      <c r="BC90" s="36">
        <f t="shared" si="44"/>
        <v>32.2204608</v>
      </c>
      <c r="BD90" s="36">
        <f t="shared" si="45"/>
        <v>61.2732384</v>
      </c>
      <c r="BE90" s="36" t="str">
        <f t="shared" si="46"/>
        <v>yes</v>
      </c>
      <c r="BF90" s="37">
        <f t="shared" si="47"/>
        <v>0.209088</v>
      </c>
      <c r="BG90" s="37">
        <f t="shared" si="48"/>
        <v>29.261865599999997</v>
      </c>
      <c r="BH90" s="36">
        <f t="shared" si="49"/>
        <v>32.2204608</v>
      </c>
      <c r="BI90" s="38">
        <f t="shared" si="50"/>
        <v>61.48232639999999</v>
      </c>
      <c r="BJ90" s="1" t="str">
        <f t="shared" si="51"/>
        <v>yes</v>
      </c>
      <c r="BK90" s="37">
        <f t="shared" si="55"/>
        <v>-0.20908800000000127</v>
      </c>
      <c r="BL90" s="37">
        <f t="shared" si="55"/>
        <v>0</v>
      </c>
      <c r="BM90" s="7">
        <f t="shared" si="53"/>
        <v>-0.20908799999999417</v>
      </c>
      <c r="BN90" s="7">
        <f t="shared" si="54"/>
        <v>0</v>
      </c>
    </row>
    <row r="91" spans="2:66" ht="18" customHeight="1">
      <c r="B91" s="4" t="s">
        <v>12</v>
      </c>
      <c r="C91" s="4" t="s">
        <v>95</v>
      </c>
      <c r="D91" s="157" t="s">
        <v>190</v>
      </c>
      <c r="E91" s="158" t="s">
        <v>16</v>
      </c>
      <c r="F91" s="79">
        <f t="shared" si="14"/>
        <v>52272</v>
      </c>
      <c r="G91" s="80">
        <f t="shared" si="15"/>
        <v>40</v>
      </c>
      <c r="H91" s="149">
        <f t="shared" si="16"/>
        <v>4</v>
      </c>
      <c r="I91" s="150">
        <f t="shared" si="17"/>
        <v>67.7549664</v>
      </c>
      <c r="J91" s="83">
        <f t="shared" si="18"/>
        <v>71.99945279999999</v>
      </c>
      <c r="K91" s="84">
        <f t="shared" si="19"/>
        <v>69.90857279999999</v>
      </c>
      <c r="L91" s="151">
        <f t="shared" si="20"/>
        <v>31.143657599999994</v>
      </c>
      <c r="M91" s="152">
        <f t="shared" si="21"/>
        <v>29.052777599999995</v>
      </c>
      <c r="N91" s="188">
        <f t="shared" si="22"/>
        <v>-0.06713662302786172</v>
      </c>
      <c r="O91" s="153">
        <f t="shared" si="23"/>
        <v>40.855795199999996</v>
      </c>
      <c r="P91" s="154">
        <f t="shared" si="24"/>
        <v>40.855795199999996</v>
      </c>
      <c r="Q91" s="176">
        <f t="shared" si="25"/>
        <v>0</v>
      </c>
      <c r="R91" s="100">
        <f t="shared" si="26"/>
        <v>-2.0908799999999985</v>
      </c>
      <c r="S91" s="184">
        <f t="shared" si="27"/>
        <v>-0.02904022070567735</v>
      </c>
      <c r="U91" s="208" t="s">
        <v>95</v>
      </c>
      <c r="V91" s="4" t="s">
        <v>12</v>
      </c>
      <c r="X91" s="155">
        <v>137.15</v>
      </c>
      <c r="Y91" s="210">
        <v>148.95</v>
      </c>
      <c r="Z91" s="155">
        <v>138.95</v>
      </c>
      <c r="AA91" s="155">
        <v>186.9</v>
      </c>
      <c r="AB91" s="155"/>
      <c r="AC91" s="223">
        <v>195.4</v>
      </c>
      <c r="AD91" s="155"/>
      <c r="AE91" s="161">
        <v>195.4</v>
      </c>
      <c r="AF91" s="155"/>
      <c r="AG91" s="32">
        <f t="shared" si="28"/>
        <v>324.05</v>
      </c>
      <c r="AH91" s="32">
        <f t="shared" si="29"/>
        <v>344.35</v>
      </c>
      <c r="AI91" s="32">
        <f t="shared" si="30"/>
        <v>334.35</v>
      </c>
      <c r="AJ91" s="33"/>
      <c r="AK91" s="33">
        <v>250000</v>
      </c>
      <c r="AL91" s="33"/>
      <c r="AM91" s="33">
        <v>250000</v>
      </c>
      <c r="AN91" s="33"/>
      <c r="AO91" s="33">
        <v>250000</v>
      </c>
      <c r="AP91" s="67">
        <f t="shared" si="31"/>
        <v>250000</v>
      </c>
      <c r="AQ91" s="34">
        <f t="shared" si="32"/>
        <v>100</v>
      </c>
      <c r="AR91" s="67">
        <f t="shared" si="33"/>
        <v>250000</v>
      </c>
      <c r="AS91" s="34">
        <f t="shared" si="34"/>
        <v>100</v>
      </c>
      <c r="AT91" s="28">
        <f t="shared" si="35"/>
        <v>148.95</v>
      </c>
      <c r="AU91" s="28">
        <f t="shared" si="36"/>
        <v>195.4</v>
      </c>
      <c r="AV91" s="28">
        <f t="shared" si="37"/>
        <v>344.35</v>
      </c>
      <c r="AW91" s="24">
        <f t="shared" si="38"/>
        <v>-10</v>
      </c>
      <c r="AX91" s="24">
        <f t="shared" si="39"/>
        <v>0</v>
      </c>
      <c r="AY91" s="24">
        <f t="shared" si="40"/>
        <v>-10</v>
      </c>
      <c r="AZ91" s="156">
        <f t="shared" si="41"/>
        <v>52272</v>
      </c>
      <c r="BA91" s="35">
        <f t="shared" si="42"/>
        <v>0.209088</v>
      </c>
      <c r="BB91" s="35">
        <f t="shared" si="43"/>
        <v>29.052777599999995</v>
      </c>
      <c r="BC91" s="36">
        <f t="shared" si="44"/>
        <v>40.855795199999996</v>
      </c>
      <c r="BD91" s="36">
        <f t="shared" si="45"/>
        <v>69.90857279999999</v>
      </c>
      <c r="BE91" s="36" t="str">
        <f t="shared" si="46"/>
        <v>yes</v>
      </c>
      <c r="BF91" s="37">
        <f t="shared" si="47"/>
        <v>0.209088</v>
      </c>
      <c r="BG91" s="37">
        <f t="shared" si="48"/>
        <v>31.143657599999994</v>
      </c>
      <c r="BH91" s="36">
        <f t="shared" si="49"/>
        <v>40.855795199999996</v>
      </c>
      <c r="BI91" s="38">
        <f t="shared" si="50"/>
        <v>71.99945279999999</v>
      </c>
      <c r="BJ91" s="1" t="str">
        <f t="shared" si="51"/>
        <v>yes</v>
      </c>
      <c r="BK91" s="37">
        <f t="shared" si="55"/>
        <v>-2.0908799999999985</v>
      </c>
      <c r="BL91" s="37">
        <f t="shared" si="55"/>
        <v>0</v>
      </c>
      <c r="BM91" s="7">
        <f t="shared" si="53"/>
        <v>-2.0908799999999985</v>
      </c>
      <c r="BN91" s="7">
        <f t="shared" si="54"/>
        <v>0</v>
      </c>
    </row>
    <row r="92" spans="2:66" ht="18" customHeight="1">
      <c r="B92" s="4" t="s">
        <v>12</v>
      </c>
      <c r="C92" s="4" t="s">
        <v>95</v>
      </c>
      <c r="D92" s="157" t="s">
        <v>190</v>
      </c>
      <c r="E92" s="158" t="s">
        <v>15</v>
      </c>
      <c r="F92" s="79">
        <f t="shared" si="14"/>
        <v>52272</v>
      </c>
      <c r="G92" s="80">
        <f t="shared" si="15"/>
        <v>40</v>
      </c>
      <c r="H92" s="149">
        <f t="shared" si="16"/>
        <v>4</v>
      </c>
      <c r="I92" s="150">
        <f t="shared" si="17"/>
        <v>67.7549664</v>
      </c>
      <c r="J92" s="83">
        <f t="shared" si="18"/>
        <v>71.99945279999999</v>
      </c>
      <c r="K92" s="84">
        <f t="shared" si="19"/>
        <v>69.90857279999999</v>
      </c>
      <c r="L92" s="151">
        <f t="shared" si="20"/>
        <v>31.143657599999994</v>
      </c>
      <c r="M92" s="152">
        <f t="shared" si="21"/>
        <v>29.052777599999995</v>
      </c>
      <c r="N92" s="188">
        <f t="shared" si="22"/>
        <v>-0.06713662302786172</v>
      </c>
      <c r="O92" s="153">
        <f t="shared" si="23"/>
        <v>40.855795199999996</v>
      </c>
      <c r="P92" s="154">
        <f t="shared" si="24"/>
        <v>40.855795199999996</v>
      </c>
      <c r="Q92" s="176">
        <f t="shared" si="25"/>
        <v>0</v>
      </c>
      <c r="R92" s="100">
        <f t="shared" si="26"/>
        <v>-2.0908799999999985</v>
      </c>
      <c r="S92" s="184">
        <f t="shared" si="27"/>
        <v>-0.02904022070567735</v>
      </c>
      <c r="U92" s="208" t="s">
        <v>95</v>
      </c>
      <c r="V92" s="4" t="s">
        <v>12</v>
      </c>
      <c r="X92" s="155">
        <v>137.15</v>
      </c>
      <c r="Y92" s="39">
        <v>148.95</v>
      </c>
      <c r="Z92" s="155">
        <v>138.95</v>
      </c>
      <c r="AA92" s="155">
        <v>186.9</v>
      </c>
      <c r="AB92" s="155"/>
      <c r="AC92" s="223">
        <v>195.4</v>
      </c>
      <c r="AD92" s="155"/>
      <c r="AE92" s="161">
        <v>195.4</v>
      </c>
      <c r="AF92" s="155"/>
      <c r="AG92" s="32">
        <f t="shared" si="28"/>
        <v>324.05</v>
      </c>
      <c r="AH92" s="32">
        <f t="shared" si="29"/>
        <v>344.35</v>
      </c>
      <c r="AI92" s="32">
        <f t="shared" si="30"/>
        <v>334.35</v>
      </c>
      <c r="AJ92" s="33"/>
      <c r="AK92" s="33">
        <v>250000</v>
      </c>
      <c r="AL92" s="33"/>
      <c r="AM92" s="33">
        <v>250000</v>
      </c>
      <c r="AN92" s="33"/>
      <c r="AO92" s="33">
        <v>250000</v>
      </c>
      <c r="AP92" s="67">
        <f t="shared" si="31"/>
        <v>250000</v>
      </c>
      <c r="AQ92" s="34">
        <f t="shared" si="32"/>
        <v>100</v>
      </c>
      <c r="AR92" s="67">
        <f t="shared" si="33"/>
        <v>250000</v>
      </c>
      <c r="AS92" s="34">
        <f t="shared" si="34"/>
        <v>100</v>
      </c>
      <c r="AT92" s="28">
        <f t="shared" si="35"/>
        <v>148.95</v>
      </c>
      <c r="AU92" s="28">
        <f t="shared" si="36"/>
        <v>195.4</v>
      </c>
      <c r="AV92" s="28">
        <f t="shared" si="37"/>
        <v>344.35</v>
      </c>
      <c r="AW92" s="24">
        <f t="shared" si="38"/>
        <v>-10</v>
      </c>
      <c r="AX92" s="24">
        <f t="shared" si="39"/>
        <v>0</v>
      </c>
      <c r="AY92" s="24">
        <f t="shared" si="40"/>
        <v>-10</v>
      </c>
      <c r="AZ92" s="156">
        <f t="shared" si="41"/>
        <v>52272</v>
      </c>
      <c r="BA92" s="35">
        <f t="shared" si="42"/>
        <v>0.209088</v>
      </c>
      <c r="BB92" s="35">
        <f t="shared" si="43"/>
        <v>29.052777599999995</v>
      </c>
      <c r="BC92" s="36">
        <f t="shared" si="44"/>
        <v>40.855795199999996</v>
      </c>
      <c r="BD92" s="36">
        <f t="shared" si="45"/>
        <v>69.90857279999999</v>
      </c>
      <c r="BE92" s="36" t="str">
        <f t="shared" si="46"/>
        <v>yes</v>
      </c>
      <c r="BF92" s="37">
        <f t="shared" si="47"/>
        <v>0.209088</v>
      </c>
      <c r="BG92" s="37">
        <f t="shared" si="48"/>
        <v>31.143657599999994</v>
      </c>
      <c r="BH92" s="36">
        <f t="shared" si="49"/>
        <v>40.855795199999996</v>
      </c>
      <c r="BI92" s="38">
        <f t="shared" si="50"/>
        <v>71.99945279999999</v>
      </c>
      <c r="BJ92" s="1" t="str">
        <f t="shared" si="51"/>
        <v>yes</v>
      </c>
      <c r="BK92" s="37">
        <f t="shared" si="55"/>
        <v>-2.0908799999999985</v>
      </c>
      <c r="BL92" s="37">
        <f t="shared" si="55"/>
        <v>0</v>
      </c>
      <c r="BM92" s="7">
        <f t="shared" si="53"/>
        <v>-2.0908799999999985</v>
      </c>
      <c r="BN92" s="7">
        <f t="shared" si="54"/>
        <v>0</v>
      </c>
    </row>
    <row r="93" spans="2:66" ht="18" customHeight="1">
      <c r="B93" s="4" t="s">
        <v>12</v>
      </c>
      <c r="C93" s="4" t="s">
        <v>95</v>
      </c>
      <c r="D93" s="157" t="s">
        <v>190</v>
      </c>
      <c r="E93" s="158" t="s">
        <v>79</v>
      </c>
      <c r="F93" s="79">
        <f t="shared" si="14"/>
        <v>52272</v>
      </c>
      <c r="G93" s="80">
        <f t="shared" si="15"/>
        <v>40</v>
      </c>
      <c r="H93" s="149">
        <f t="shared" si="16"/>
        <v>4</v>
      </c>
      <c r="I93" s="150">
        <f t="shared" si="17"/>
        <v>67.7549664</v>
      </c>
      <c r="J93" s="83">
        <f t="shared" si="18"/>
        <v>71.99945279999999</v>
      </c>
      <c r="K93" s="84">
        <f t="shared" si="19"/>
        <v>69.90857279999999</v>
      </c>
      <c r="L93" s="151">
        <f t="shared" si="20"/>
        <v>31.143657599999994</v>
      </c>
      <c r="M93" s="152">
        <f t="shared" si="21"/>
        <v>29.052777599999995</v>
      </c>
      <c r="N93" s="188">
        <f t="shared" si="22"/>
        <v>-0.06713662302786172</v>
      </c>
      <c r="O93" s="153">
        <f t="shared" si="23"/>
        <v>40.855795199999996</v>
      </c>
      <c r="P93" s="154">
        <f t="shared" si="24"/>
        <v>40.855795199999996</v>
      </c>
      <c r="Q93" s="176">
        <f t="shared" si="25"/>
        <v>0</v>
      </c>
      <c r="R93" s="100">
        <f t="shared" si="26"/>
        <v>-2.0908799999999985</v>
      </c>
      <c r="S93" s="184">
        <f t="shared" si="27"/>
        <v>-0.02904022070567735</v>
      </c>
      <c r="U93" s="208" t="s">
        <v>95</v>
      </c>
      <c r="V93" s="4" t="s">
        <v>12</v>
      </c>
      <c r="X93" s="155">
        <v>137.15</v>
      </c>
      <c r="Y93" s="39">
        <v>148.95</v>
      </c>
      <c r="Z93" s="155">
        <v>138.95</v>
      </c>
      <c r="AA93" s="155">
        <v>186.9</v>
      </c>
      <c r="AB93" s="155"/>
      <c r="AC93" s="223">
        <v>195.4</v>
      </c>
      <c r="AD93" s="155"/>
      <c r="AE93" s="161">
        <v>195.4</v>
      </c>
      <c r="AF93" s="155"/>
      <c r="AG93" s="32">
        <f t="shared" si="28"/>
        <v>324.05</v>
      </c>
      <c r="AH93" s="32">
        <f t="shared" si="29"/>
        <v>344.35</v>
      </c>
      <c r="AI93" s="32">
        <f t="shared" si="30"/>
        <v>334.35</v>
      </c>
      <c r="AJ93" s="33"/>
      <c r="AK93" s="33">
        <v>250000</v>
      </c>
      <c r="AL93" s="33"/>
      <c r="AM93" s="33">
        <v>250000</v>
      </c>
      <c r="AN93" s="33"/>
      <c r="AO93" s="33">
        <v>250000</v>
      </c>
      <c r="AP93" s="67">
        <f t="shared" si="31"/>
        <v>250000</v>
      </c>
      <c r="AQ93" s="34">
        <f t="shared" si="32"/>
        <v>100</v>
      </c>
      <c r="AR93" s="67">
        <f t="shared" si="33"/>
        <v>250000</v>
      </c>
      <c r="AS93" s="34">
        <f t="shared" si="34"/>
        <v>100</v>
      </c>
      <c r="AT93" s="28">
        <f t="shared" si="35"/>
        <v>148.95</v>
      </c>
      <c r="AU93" s="28">
        <f t="shared" si="36"/>
        <v>195.4</v>
      </c>
      <c r="AV93" s="28">
        <f t="shared" si="37"/>
        <v>344.35</v>
      </c>
      <c r="AW93" s="24">
        <f t="shared" si="38"/>
        <v>-10</v>
      </c>
      <c r="AX93" s="24">
        <f t="shared" si="39"/>
        <v>0</v>
      </c>
      <c r="AY93" s="24">
        <f t="shared" si="40"/>
        <v>-10</v>
      </c>
      <c r="AZ93" s="156">
        <f t="shared" si="41"/>
        <v>52272</v>
      </c>
      <c r="BA93" s="35">
        <f t="shared" si="42"/>
        <v>0.209088</v>
      </c>
      <c r="BB93" s="35">
        <f t="shared" si="43"/>
        <v>29.052777599999995</v>
      </c>
      <c r="BC93" s="36">
        <f t="shared" si="44"/>
        <v>40.855795199999996</v>
      </c>
      <c r="BD93" s="36">
        <f t="shared" si="45"/>
        <v>69.90857279999999</v>
      </c>
      <c r="BE93" s="36" t="str">
        <f t="shared" si="46"/>
        <v>yes</v>
      </c>
      <c r="BF93" s="37">
        <f t="shared" si="47"/>
        <v>0.209088</v>
      </c>
      <c r="BG93" s="37">
        <f t="shared" si="48"/>
        <v>31.143657599999994</v>
      </c>
      <c r="BH93" s="36">
        <f t="shared" si="49"/>
        <v>40.855795199999996</v>
      </c>
      <c r="BI93" s="38">
        <f t="shared" si="50"/>
        <v>71.99945279999999</v>
      </c>
      <c r="BJ93" s="1" t="str">
        <f t="shared" si="51"/>
        <v>yes</v>
      </c>
      <c r="BK93" s="37">
        <f t="shared" si="55"/>
        <v>-2.0908799999999985</v>
      </c>
      <c r="BL93" s="37">
        <f t="shared" si="55"/>
        <v>0</v>
      </c>
      <c r="BM93" s="7">
        <f t="shared" si="53"/>
        <v>-2.0908799999999985</v>
      </c>
      <c r="BN93" s="7">
        <f t="shared" si="54"/>
        <v>0</v>
      </c>
    </row>
    <row r="94" spans="2:66" ht="18" customHeight="1">
      <c r="B94" s="4" t="s">
        <v>12</v>
      </c>
      <c r="C94" s="29" t="s">
        <v>97</v>
      </c>
      <c r="D94" s="164" t="s">
        <v>190</v>
      </c>
      <c r="E94" s="192" t="s">
        <v>14</v>
      </c>
      <c r="F94" s="79">
        <f t="shared" si="14"/>
        <v>52272</v>
      </c>
      <c r="G94" s="80">
        <f t="shared" si="15"/>
        <v>40</v>
      </c>
      <c r="H94" s="149">
        <f t="shared" si="16"/>
        <v>4</v>
      </c>
      <c r="I94" s="150">
        <f t="shared" si="17"/>
        <v>58.617820800000004</v>
      </c>
      <c r="J94" s="83">
        <f t="shared" si="18"/>
        <v>63.364118399999995</v>
      </c>
      <c r="K94" s="84">
        <f t="shared" si="19"/>
        <v>61.2732384</v>
      </c>
      <c r="L94" s="151">
        <f t="shared" si="20"/>
        <v>31.143657599999994</v>
      </c>
      <c r="M94" s="152">
        <f t="shared" si="21"/>
        <v>29.052777599999995</v>
      </c>
      <c r="N94" s="188">
        <f t="shared" si="22"/>
        <v>-0.06713662302786172</v>
      </c>
      <c r="O94" s="153">
        <f t="shared" si="23"/>
        <v>32.2204608</v>
      </c>
      <c r="P94" s="154">
        <f t="shared" si="24"/>
        <v>32.2204608</v>
      </c>
      <c r="Q94" s="176">
        <f t="shared" si="25"/>
        <v>0</v>
      </c>
      <c r="R94" s="100">
        <f t="shared" si="26"/>
        <v>-2.0908799999999985</v>
      </c>
      <c r="S94" s="184">
        <f t="shared" si="27"/>
        <v>-0.032997855139415916</v>
      </c>
      <c r="U94" s="207" t="s">
        <v>97</v>
      </c>
      <c r="V94" s="4" t="s">
        <v>12</v>
      </c>
      <c r="X94" s="39">
        <v>137.15</v>
      </c>
      <c r="Y94" s="39">
        <v>148.95</v>
      </c>
      <c r="Z94" s="155">
        <v>138.95</v>
      </c>
      <c r="AA94" s="161">
        <v>143.2</v>
      </c>
      <c r="AB94" s="39"/>
      <c r="AC94" s="155">
        <v>154.1</v>
      </c>
      <c r="AD94" s="39"/>
      <c r="AE94" s="155">
        <v>154.1</v>
      </c>
      <c r="AF94" s="39"/>
      <c r="AG94" s="32">
        <f t="shared" si="28"/>
        <v>280.35</v>
      </c>
      <c r="AH94" s="32">
        <f t="shared" si="29"/>
        <v>303.04999999999995</v>
      </c>
      <c r="AI94" s="32">
        <f t="shared" si="30"/>
        <v>293.04999999999995</v>
      </c>
      <c r="AJ94" s="33"/>
      <c r="AK94" s="33">
        <v>250000</v>
      </c>
      <c r="AL94" s="33"/>
      <c r="AM94" s="33">
        <v>250000</v>
      </c>
      <c r="AN94" s="33"/>
      <c r="AO94" s="33">
        <v>250000</v>
      </c>
      <c r="AP94" s="67">
        <f t="shared" si="31"/>
        <v>250000</v>
      </c>
      <c r="AQ94" s="34">
        <f t="shared" si="32"/>
        <v>100</v>
      </c>
      <c r="AR94" s="67">
        <f t="shared" si="33"/>
        <v>250000</v>
      </c>
      <c r="AS94" s="34">
        <f t="shared" si="34"/>
        <v>100</v>
      </c>
      <c r="AT94" s="28">
        <f t="shared" si="35"/>
        <v>148.95</v>
      </c>
      <c r="AU94" s="28">
        <f t="shared" si="36"/>
        <v>154.1</v>
      </c>
      <c r="AV94" s="28">
        <f t="shared" si="37"/>
        <v>303.04999999999995</v>
      </c>
      <c r="AW94" s="24">
        <f t="shared" si="38"/>
        <v>-10</v>
      </c>
      <c r="AX94" s="24">
        <f t="shared" si="39"/>
        <v>0</v>
      </c>
      <c r="AY94" s="24">
        <f t="shared" si="40"/>
        <v>-10</v>
      </c>
      <c r="AZ94" s="156">
        <f t="shared" si="41"/>
        <v>52272</v>
      </c>
      <c r="BA94" s="35">
        <f t="shared" si="42"/>
        <v>0.209088</v>
      </c>
      <c r="BB94" s="35">
        <f t="shared" si="43"/>
        <v>29.052777599999995</v>
      </c>
      <c r="BC94" s="36">
        <f t="shared" si="44"/>
        <v>32.2204608</v>
      </c>
      <c r="BD94" s="36">
        <f t="shared" si="45"/>
        <v>61.2732384</v>
      </c>
      <c r="BE94" s="36" t="str">
        <f t="shared" si="46"/>
        <v>yes</v>
      </c>
      <c r="BF94" s="37">
        <f t="shared" si="47"/>
        <v>0.209088</v>
      </c>
      <c r="BG94" s="37">
        <f t="shared" si="48"/>
        <v>31.143657599999994</v>
      </c>
      <c r="BH94" s="36">
        <f t="shared" si="49"/>
        <v>32.2204608</v>
      </c>
      <c r="BI94" s="38">
        <f t="shared" si="50"/>
        <v>63.364118399999995</v>
      </c>
      <c r="BJ94" s="1" t="str">
        <f t="shared" si="51"/>
        <v>yes</v>
      </c>
      <c r="BK94" s="37">
        <f t="shared" si="55"/>
        <v>-2.0908799999999985</v>
      </c>
      <c r="BL94" s="37">
        <f t="shared" si="55"/>
        <v>0</v>
      </c>
      <c r="BM94" s="7">
        <f t="shared" si="53"/>
        <v>-2.0908799999999985</v>
      </c>
      <c r="BN94" s="7">
        <f t="shared" si="54"/>
        <v>0</v>
      </c>
    </row>
    <row r="95" spans="3:66" ht="18" customHeight="1">
      <c r="C95" s="29"/>
      <c r="D95" s="164" t="s">
        <v>190</v>
      </c>
      <c r="E95" s="192" t="s">
        <v>51</v>
      </c>
      <c r="F95" s="79">
        <f t="shared" si="14"/>
        <v>52272</v>
      </c>
      <c r="G95" s="80">
        <f t="shared" si="15"/>
        <v>40</v>
      </c>
      <c r="H95" s="149">
        <f t="shared" si="16"/>
        <v>4</v>
      </c>
      <c r="I95" s="150">
        <f>IF(AK95="","",IF($F95&gt;0,($F95/$AK95)*AG95,IF($G95&gt;0,(((43560/($G95/12))*$H95)/$AK95)*AG95,0)))</f>
        <v>0</v>
      </c>
      <c r="J95" s="83">
        <f>BI95</f>
        <v>0</v>
      </c>
      <c r="K95" s="84">
        <f>BD95</f>
        <v>34.279977599999995</v>
      </c>
      <c r="L95" s="151">
        <f>BG95</f>
      </c>
      <c r="M95" s="152">
        <f>BB95</f>
        <v>34.279977599999995</v>
      </c>
      <c r="N95" s="188" t="str">
        <f>IF(R95="New","New",(M95/L95)-1)</f>
        <v>New</v>
      </c>
      <c r="O95" s="153">
        <f>IF(AW95="","",BH95)</f>
      </c>
      <c r="P95" s="154">
        <f>IF(BC95="","",BC95)</f>
        <v>0</v>
      </c>
      <c r="Q95" s="176" t="str">
        <f>IF(R95="New","New",IF(AX95="","",(P95/O95)-1))</f>
        <v>New</v>
      </c>
      <c r="R95" s="100" t="str">
        <f>IF(J95="","New",IF(J95=0,"New",K95-J95))</f>
        <v>New</v>
      </c>
      <c r="S95" s="184">
        <f>IF(R95="New","",R95/J95)</f>
      </c>
      <c r="U95" s="207" t="s">
        <v>53</v>
      </c>
      <c r="V95" s="4" t="s">
        <v>12</v>
      </c>
      <c r="X95" s="39"/>
      <c r="Y95" s="39"/>
      <c r="Z95" s="155">
        <v>163.95</v>
      </c>
      <c r="AA95" s="161"/>
      <c r="AB95" s="39"/>
      <c r="AC95" s="155"/>
      <c r="AD95" s="39"/>
      <c r="AE95" s="155"/>
      <c r="AF95" s="39"/>
      <c r="AG95" s="32">
        <f t="shared" si="28"/>
        <v>0</v>
      </c>
      <c r="AH95" s="32">
        <f t="shared" si="29"/>
        <v>0</v>
      </c>
      <c r="AI95" s="32">
        <f t="shared" si="30"/>
        <v>163.95</v>
      </c>
      <c r="AJ95" s="33"/>
      <c r="AK95" s="33">
        <v>250000</v>
      </c>
      <c r="AL95" s="33"/>
      <c r="AM95" s="33">
        <v>250000</v>
      </c>
      <c r="AN95" s="33"/>
      <c r="AO95" s="33">
        <v>250000</v>
      </c>
      <c r="AP95" s="67">
        <f>AK95</f>
        <v>250000</v>
      </c>
      <c r="AQ95" s="34">
        <f>IF(AK95&gt;0,AM95/AK95*100,"Not Avail.")</f>
        <v>100</v>
      </c>
      <c r="AR95" s="67">
        <f>AM95</f>
        <v>250000</v>
      </c>
      <c r="AS95" s="34">
        <f>IF(AM95&gt;0,AO95/AM95*100,"Not Avail.")</f>
        <v>100</v>
      </c>
      <c r="AT95" s="28">
        <f t="shared" si="35"/>
      </c>
      <c r="AU95" s="28">
        <f t="shared" si="36"/>
      </c>
      <c r="AV95" s="28">
        <f>IF(AT95="","",SUM(AT95:AU95))</f>
      </c>
      <c r="AW95" s="24">
        <f t="shared" si="38"/>
      </c>
      <c r="AX95" s="24">
        <f t="shared" si="39"/>
      </c>
      <c r="AY95" s="24" t="str">
        <f>IF(AH95&gt;0,AI95-AV95,"New")</f>
        <v>New</v>
      </c>
      <c r="AZ95" s="156">
        <f>F95</f>
        <v>52272</v>
      </c>
      <c r="BA95" s="35">
        <f t="shared" si="42"/>
        <v>0.209088</v>
      </c>
      <c r="BB95" s="35">
        <f t="shared" si="43"/>
        <v>34.279977599999995</v>
      </c>
      <c r="BC95" s="36">
        <f t="shared" si="44"/>
        <v>0</v>
      </c>
      <c r="BD95" s="36">
        <f>BB95+BC95</f>
        <v>34.279977599999995</v>
      </c>
      <c r="BE95" s="36" t="str">
        <f>IF(BD95=K95,"yes","no")</f>
        <v>yes</v>
      </c>
      <c r="BF95" s="37">
        <f>IF(AM95="","",IF($F95&gt;0,($F95/AM95),IF($G95&gt;0,((((43560/($G95/12))*$H95)/$AM95)),0)))</f>
        <v>0.209088</v>
      </c>
      <c r="BG95" s="37">
        <f t="shared" si="48"/>
      </c>
      <c r="BH95" s="36">
        <f t="shared" si="49"/>
        <v>0</v>
      </c>
      <c r="BI95" s="38">
        <f>SUM(BG95:BH95)</f>
        <v>0</v>
      </c>
      <c r="BJ95" s="1" t="str">
        <f>IF(J95=BI95,"yes","no")</f>
        <v>yes</v>
      </c>
      <c r="BK95" s="37">
        <f>IF(BG95="","",IF(BG95=0,"",BB95-BG95))</f>
      </c>
      <c r="BL95" s="37">
        <f>IF(BH95="","",IF(BH95=0,"",BC95-BH95))</f>
      </c>
      <c r="BM95" s="7">
        <f>IF(BK95="","",BD95-BI95)</f>
      </c>
      <c r="BN95" s="7" t="e">
        <f>R95-BM95</f>
        <v>#VALUE!</v>
      </c>
    </row>
    <row r="96" spans="3:66" ht="18" customHeight="1">
      <c r="C96" s="29"/>
      <c r="D96" s="164" t="s">
        <v>190</v>
      </c>
      <c r="E96" s="192" t="s">
        <v>52</v>
      </c>
      <c r="F96" s="79">
        <f t="shared" si="14"/>
        <v>52272</v>
      </c>
      <c r="G96" s="80">
        <f t="shared" si="15"/>
        <v>40</v>
      </c>
      <c r="H96" s="149">
        <f t="shared" si="16"/>
        <v>4</v>
      </c>
      <c r="I96" s="150">
        <f>IF(AK96="","",IF($F96&gt;0,($F96/$AK96)*AG96,IF($G96&gt;0,(((43560/($G96/12))*$H96)/$AK96)*AG96,0)))</f>
        <v>0</v>
      </c>
      <c r="J96" s="83">
        <f>BI96</f>
        <v>0</v>
      </c>
      <c r="K96" s="84">
        <f>BD96</f>
        <v>34.279977599999995</v>
      </c>
      <c r="L96" s="151">
        <f>BG96</f>
      </c>
      <c r="M96" s="152">
        <f>BB96</f>
        <v>34.279977599999995</v>
      </c>
      <c r="N96" s="188" t="str">
        <f>IF(R96="New","New",(M96/L96)-1)</f>
        <v>New</v>
      </c>
      <c r="O96" s="153">
        <f>IF(AW96="","",BH96)</f>
      </c>
      <c r="P96" s="154">
        <f>IF(BC96="","",BC96)</f>
        <v>0</v>
      </c>
      <c r="Q96" s="176" t="str">
        <f>IF(R96="New","New",IF(AX96="","",(P96/O96)-1))</f>
        <v>New</v>
      </c>
      <c r="R96" s="100" t="str">
        <f>IF(J96="","New",IF(J96=0,"New",K96-J96))</f>
        <v>New</v>
      </c>
      <c r="S96" s="184">
        <f>IF(R96="New","",R96/J96)</f>
      </c>
      <c r="U96" s="207" t="s">
        <v>53</v>
      </c>
      <c r="V96" s="4" t="s">
        <v>12</v>
      </c>
      <c r="X96" s="39"/>
      <c r="Y96" s="39"/>
      <c r="Z96" s="155">
        <v>163.95</v>
      </c>
      <c r="AA96" s="161"/>
      <c r="AB96" s="39"/>
      <c r="AC96" s="155"/>
      <c r="AD96" s="39"/>
      <c r="AE96" s="155"/>
      <c r="AF96" s="39"/>
      <c r="AG96" s="32">
        <f t="shared" si="28"/>
        <v>0</v>
      </c>
      <c r="AH96" s="32">
        <f t="shared" si="29"/>
        <v>0</v>
      </c>
      <c r="AI96" s="32">
        <f t="shared" si="30"/>
        <v>163.95</v>
      </c>
      <c r="AJ96" s="33"/>
      <c r="AK96" s="33">
        <v>250000</v>
      </c>
      <c r="AL96" s="33"/>
      <c r="AM96" s="33">
        <v>250000</v>
      </c>
      <c r="AN96" s="33"/>
      <c r="AO96" s="33">
        <v>250000</v>
      </c>
      <c r="AP96" s="67">
        <f>AK96</f>
        <v>250000</v>
      </c>
      <c r="AQ96" s="34">
        <f>IF(AK96&gt;0,AM96/AK96*100,"Not Avail.")</f>
        <v>100</v>
      </c>
      <c r="AR96" s="67">
        <f>AM96</f>
        <v>250000</v>
      </c>
      <c r="AS96" s="34">
        <f>IF(AM96&gt;0,AO96/AM96*100,"Not Avail.")</f>
        <v>100</v>
      </c>
      <c r="AT96" s="28">
        <f t="shared" si="35"/>
      </c>
      <c r="AU96" s="28">
        <f t="shared" si="36"/>
      </c>
      <c r="AV96" s="28">
        <f>IF(AT96="","",SUM(AT96:AU96))</f>
      </c>
      <c r="AW96" s="24">
        <f t="shared" si="38"/>
      </c>
      <c r="AX96" s="24">
        <f t="shared" si="39"/>
      </c>
      <c r="AY96" s="24" t="str">
        <f>IF(AH96&gt;0,AI96-AV96,"New")</f>
        <v>New</v>
      </c>
      <c r="AZ96" s="156">
        <f>F96</f>
        <v>52272</v>
      </c>
      <c r="BA96" s="35">
        <f t="shared" si="42"/>
        <v>0.209088</v>
      </c>
      <c r="BB96" s="35">
        <f t="shared" si="43"/>
        <v>34.279977599999995</v>
      </c>
      <c r="BC96" s="36">
        <f t="shared" si="44"/>
        <v>0</v>
      </c>
      <c r="BD96" s="36">
        <f>BB96+BC96</f>
        <v>34.279977599999995</v>
      </c>
      <c r="BE96" s="36" t="str">
        <f>IF(BD96=K96,"yes","no")</f>
        <v>yes</v>
      </c>
      <c r="BF96" s="37">
        <f>IF(AM96="","",IF($F96&gt;0,($F96/AM96),IF($G96&gt;0,((((43560/($G96/12))*$H96)/$AM96)),0)))</f>
        <v>0.209088</v>
      </c>
      <c r="BG96" s="37">
        <f t="shared" si="48"/>
      </c>
      <c r="BH96" s="36">
        <f t="shared" si="49"/>
        <v>0</v>
      </c>
      <c r="BI96" s="38">
        <f>SUM(BG96:BH96)</f>
        <v>0</v>
      </c>
      <c r="BJ96" s="1" t="str">
        <f>IF(J96=BI96,"yes","no")</f>
        <v>yes</v>
      </c>
      <c r="BK96" s="37">
        <f>IF(BG96="","",IF(BG96=0,"",BB96-BG96))</f>
      </c>
      <c r="BL96" s="37">
        <f>IF(BH96="","",IF(BH96=0,"",BC96-BH96))</f>
      </c>
      <c r="BM96" s="7">
        <f>IF(BK96="","",BD96-BI96)</f>
      </c>
      <c r="BN96" s="7" t="e">
        <f>R96-BM96</f>
        <v>#VALUE!</v>
      </c>
    </row>
    <row r="97" spans="2:66" ht="18" customHeight="1">
      <c r="B97" s="4" t="s">
        <v>12</v>
      </c>
      <c r="C97" s="4" t="s">
        <v>130</v>
      </c>
      <c r="D97" s="205" t="s">
        <v>70</v>
      </c>
      <c r="E97" s="192" t="s">
        <v>129</v>
      </c>
      <c r="F97" s="79">
        <f t="shared" si="14"/>
        <v>52272</v>
      </c>
      <c r="G97" s="80">
        <f t="shared" si="15"/>
        <v>40</v>
      </c>
      <c r="H97" s="149">
        <f t="shared" si="16"/>
        <v>4</v>
      </c>
      <c r="I97" s="150">
        <f t="shared" si="17"/>
        <v>58.596911999999996</v>
      </c>
      <c r="J97" s="83">
        <f t="shared" si="18"/>
        <v>55.76472000000001</v>
      </c>
      <c r="K97" s="84">
        <f t="shared" si="19"/>
        <v>58.14072</v>
      </c>
      <c r="L97" s="151">
        <f t="shared" si="20"/>
        <v>38.253600000000006</v>
      </c>
      <c r="M97" s="152">
        <f t="shared" si="21"/>
        <v>40.6296</v>
      </c>
      <c r="N97" s="188">
        <f t="shared" si="22"/>
        <v>0.06211180124223592</v>
      </c>
      <c r="O97" s="153">
        <f t="shared" si="23"/>
        <v>17.511120000000002</v>
      </c>
      <c r="P97" s="154">
        <f t="shared" si="24"/>
        <v>17.511120000000002</v>
      </c>
      <c r="Q97" s="176">
        <f t="shared" si="25"/>
        <v>0</v>
      </c>
      <c r="R97" s="100">
        <f t="shared" si="26"/>
        <v>2.3759999999999906</v>
      </c>
      <c r="S97" s="184">
        <f t="shared" si="27"/>
        <v>0.04260758414997852</v>
      </c>
      <c r="U97" s="208" t="s">
        <v>130</v>
      </c>
      <c r="V97" s="4" t="s">
        <v>12</v>
      </c>
      <c r="X97" s="32">
        <v>158</v>
      </c>
      <c r="Y97" s="32">
        <v>161</v>
      </c>
      <c r="Z97" s="32">
        <v>171</v>
      </c>
      <c r="AA97" s="32">
        <v>66.2</v>
      </c>
      <c r="AB97" s="32"/>
      <c r="AC97" s="32">
        <v>73.7</v>
      </c>
      <c r="AD97" s="32"/>
      <c r="AE97" s="32">
        <v>73.7</v>
      </c>
      <c r="AF97" s="32"/>
      <c r="AG97" s="32">
        <f t="shared" si="28"/>
        <v>224.2</v>
      </c>
      <c r="AH97" s="32">
        <f t="shared" si="29"/>
        <v>234.7</v>
      </c>
      <c r="AI97" s="32">
        <f t="shared" si="30"/>
        <v>244.7</v>
      </c>
      <c r="AJ97" s="26"/>
      <c r="AK97" s="33">
        <v>200000</v>
      </c>
      <c r="AL97" s="26"/>
      <c r="AM97" s="33">
        <v>220000</v>
      </c>
      <c r="AN97" s="26"/>
      <c r="AO97" s="33">
        <v>220000</v>
      </c>
      <c r="AP97" s="67">
        <f t="shared" si="31"/>
        <v>200000</v>
      </c>
      <c r="AQ97" s="34">
        <f t="shared" si="32"/>
        <v>110.00000000000001</v>
      </c>
      <c r="AR97" s="67">
        <f t="shared" si="33"/>
        <v>220000</v>
      </c>
      <c r="AS97" s="34">
        <f t="shared" si="34"/>
        <v>100</v>
      </c>
      <c r="AT97" s="28">
        <f t="shared" si="35"/>
        <v>161</v>
      </c>
      <c r="AU97" s="28">
        <f t="shared" si="36"/>
        <v>73.7</v>
      </c>
      <c r="AV97" s="28">
        <f t="shared" si="37"/>
        <v>234.7</v>
      </c>
      <c r="AW97" s="24">
        <f t="shared" si="38"/>
        <v>10</v>
      </c>
      <c r="AX97" s="24">
        <f t="shared" si="39"/>
        <v>0</v>
      </c>
      <c r="AY97" s="24">
        <f t="shared" si="40"/>
        <v>10</v>
      </c>
      <c r="AZ97" s="156">
        <f t="shared" si="41"/>
        <v>52272</v>
      </c>
      <c r="BA97" s="35">
        <f t="shared" si="42"/>
        <v>0.2376</v>
      </c>
      <c r="BB97" s="35">
        <f t="shared" si="43"/>
        <v>40.6296</v>
      </c>
      <c r="BC97" s="36">
        <f t="shared" si="44"/>
        <v>17.511120000000002</v>
      </c>
      <c r="BD97" s="36">
        <f t="shared" si="45"/>
        <v>58.14072</v>
      </c>
      <c r="BE97" s="36" t="str">
        <f t="shared" si="46"/>
        <v>yes</v>
      </c>
      <c r="BF97" s="37">
        <f t="shared" si="47"/>
        <v>0.2376</v>
      </c>
      <c r="BG97" s="37">
        <f t="shared" si="48"/>
        <v>38.253600000000006</v>
      </c>
      <c r="BH97" s="36">
        <f t="shared" si="49"/>
        <v>17.511120000000002</v>
      </c>
      <c r="BI97" s="38">
        <f t="shared" si="50"/>
        <v>55.76472000000001</v>
      </c>
      <c r="BJ97" s="1" t="str">
        <f t="shared" si="51"/>
        <v>yes</v>
      </c>
      <c r="BK97" s="37">
        <f t="shared" si="55"/>
        <v>2.3759999999999977</v>
      </c>
      <c r="BL97" s="37">
        <f t="shared" si="55"/>
        <v>0</v>
      </c>
      <c r="BM97" s="7">
        <f t="shared" si="53"/>
        <v>2.3759999999999906</v>
      </c>
      <c r="BN97" s="7">
        <f t="shared" si="54"/>
        <v>0</v>
      </c>
    </row>
    <row r="98" spans="2:70" ht="18" customHeight="1">
      <c r="B98" s="4" t="s">
        <v>12</v>
      </c>
      <c r="C98" s="4" t="s">
        <v>95</v>
      </c>
      <c r="D98" s="157" t="s">
        <v>157</v>
      </c>
      <c r="E98" s="158" t="s">
        <v>177</v>
      </c>
      <c r="F98" s="79">
        <f t="shared" si="14"/>
        <v>52272</v>
      </c>
      <c r="G98" s="80">
        <f t="shared" si="15"/>
        <v>40</v>
      </c>
      <c r="H98" s="149">
        <f t="shared" si="16"/>
        <v>4</v>
      </c>
      <c r="I98" s="150">
        <f t="shared" si="17"/>
        <v>76.4478</v>
      </c>
      <c r="J98" s="83">
        <f t="shared" si="18"/>
        <v>73.15704</v>
      </c>
      <c r="K98" s="84">
        <f t="shared" si="19"/>
        <v>74.34504000000001</v>
      </c>
      <c r="L98" s="151">
        <f t="shared" si="20"/>
        <v>32.3136</v>
      </c>
      <c r="M98" s="152">
        <f t="shared" si="21"/>
        <v>33.5016</v>
      </c>
      <c r="N98" s="188">
        <f t="shared" si="22"/>
        <v>0.03676470588235303</v>
      </c>
      <c r="O98" s="153">
        <f t="shared" si="23"/>
        <v>40.84344</v>
      </c>
      <c r="P98" s="154">
        <f t="shared" si="24"/>
        <v>40.84344</v>
      </c>
      <c r="Q98" s="176">
        <f t="shared" si="25"/>
        <v>0</v>
      </c>
      <c r="R98" s="100">
        <f t="shared" si="26"/>
        <v>1.1880000000000166</v>
      </c>
      <c r="S98" s="184">
        <f t="shared" si="27"/>
        <v>0.016239038648912213</v>
      </c>
      <c r="U98" s="208" t="s">
        <v>95</v>
      </c>
      <c r="V98" s="4" t="s">
        <v>12</v>
      </c>
      <c r="X98" s="155">
        <v>128</v>
      </c>
      <c r="Y98" s="155">
        <v>136</v>
      </c>
      <c r="Z98" s="155">
        <v>141</v>
      </c>
      <c r="AA98" s="155">
        <v>164.5</v>
      </c>
      <c r="AB98" s="155"/>
      <c r="AC98" s="155">
        <v>171.9</v>
      </c>
      <c r="AD98" s="155"/>
      <c r="AE98" s="155">
        <v>171.9</v>
      </c>
      <c r="AF98" s="155"/>
      <c r="AG98" s="32">
        <f t="shared" si="28"/>
        <v>292.5</v>
      </c>
      <c r="AH98" s="32">
        <f t="shared" si="29"/>
        <v>307.9</v>
      </c>
      <c r="AI98" s="32">
        <f t="shared" si="30"/>
        <v>312.9</v>
      </c>
      <c r="AJ98" s="26"/>
      <c r="AK98" s="33">
        <v>200000</v>
      </c>
      <c r="AL98" s="26"/>
      <c r="AM98" s="33">
        <v>220000</v>
      </c>
      <c r="AN98" s="26"/>
      <c r="AO98" s="33">
        <v>220000</v>
      </c>
      <c r="AP98" s="67">
        <f t="shared" si="31"/>
        <v>200000</v>
      </c>
      <c r="AQ98" s="34">
        <f t="shared" si="32"/>
        <v>110.00000000000001</v>
      </c>
      <c r="AR98" s="67">
        <f t="shared" si="33"/>
        <v>220000</v>
      </c>
      <c r="AS98" s="34">
        <f t="shared" si="34"/>
        <v>100</v>
      </c>
      <c r="AT98" s="28">
        <f t="shared" si="35"/>
        <v>136</v>
      </c>
      <c r="AU98" s="28">
        <f t="shared" si="36"/>
        <v>171.9</v>
      </c>
      <c r="AV98" s="28">
        <f t="shared" si="37"/>
        <v>307.9</v>
      </c>
      <c r="AW98" s="24">
        <f t="shared" si="38"/>
        <v>5</v>
      </c>
      <c r="AX98" s="24">
        <f t="shared" si="39"/>
        <v>0</v>
      </c>
      <c r="AY98" s="24">
        <f t="shared" si="40"/>
        <v>5</v>
      </c>
      <c r="AZ98" s="156">
        <f t="shared" si="41"/>
        <v>52272</v>
      </c>
      <c r="BA98" s="35">
        <f t="shared" si="42"/>
        <v>0.2376</v>
      </c>
      <c r="BB98" s="35">
        <f t="shared" si="43"/>
        <v>33.5016</v>
      </c>
      <c r="BC98" s="36">
        <f t="shared" si="44"/>
        <v>40.84344</v>
      </c>
      <c r="BD98" s="36">
        <f t="shared" si="45"/>
        <v>74.34504000000001</v>
      </c>
      <c r="BE98" s="36" t="str">
        <f t="shared" si="46"/>
        <v>yes</v>
      </c>
      <c r="BF98" s="37">
        <f t="shared" si="47"/>
        <v>0.2376</v>
      </c>
      <c r="BG98" s="37">
        <f t="shared" si="48"/>
        <v>32.3136</v>
      </c>
      <c r="BH98" s="36">
        <f t="shared" si="49"/>
        <v>40.84344</v>
      </c>
      <c r="BI98" s="38">
        <f t="shared" si="50"/>
        <v>73.15704</v>
      </c>
      <c r="BJ98" s="1" t="str">
        <f t="shared" si="51"/>
        <v>yes</v>
      </c>
      <c r="BK98" s="37">
        <f t="shared" si="55"/>
        <v>1.1880000000000024</v>
      </c>
      <c r="BL98" s="37">
        <f t="shared" si="55"/>
        <v>0</v>
      </c>
      <c r="BM98" s="7">
        <f t="shared" si="53"/>
        <v>1.1880000000000166</v>
      </c>
      <c r="BN98" s="7">
        <f t="shared" si="54"/>
        <v>0</v>
      </c>
      <c r="BO98" s="7"/>
      <c r="BP98" s="7"/>
      <c r="BR98" s="7"/>
    </row>
    <row r="99" spans="4:70" ht="18" customHeight="1">
      <c r="D99" s="157" t="s">
        <v>157</v>
      </c>
      <c r="E99" s="158" t="s">
        <v>100</v>
      </c>
      <c r="F99" s="79">
        <f t="shared" si="14"/>
        <v>52272</v>
      </c>
      <c r="G99" s="80">
        <f t="shared" si="15"/>
        <v>40</v>
      </c>
      <c r="H99" s="149">
        <f t="shared" si="16"/>
        <v>4</v>
      </c>
      <c r="I99" s="150">
        <f t="shared" si="17"/>
      </c>
      <c r="J99" s="83">
        <f t="shared" si="18"/>
        <v>55.76472000000001</v>
      </c>
      <c r="K99" s="84">
        <f t="shared" si="19"/>
        <v>59.328720000000004</v>
      </c>
      <c r="L99" s="151">
        <f t="shared" si="20"/>
        <v>38.253600000000006</v>
      </c>
      <c r="M99" s="152">
        <f t="shared" si="21"/>
        <v>41.817600000000006</v>
      </c>
      <c r="N99" s="188">
        <f t="shared" si="22"/>
        <v>0.0931677018633541</v>
      </c>
      <c r="O99" s="153">
        <f t="shared" si="23"/>
        <v>17.511120000000002</v>
      </c>
      <c r="P99" s="154">
        <f t="shared" si="24"/>
        <v>17.511120000000002</v>
      </c>
      <c r="Q99" s="176">
        <f t="shared" si="25"/>
        <v>0</v>
      </c>
      <c r="R99" s="100">
        <f t="shared" si="26"/>
        <v>3.563999999999993</v>
      </c>
      <c r="S99" s="184">
        <f t="shared" si="27"/>
        <v>0.06391137622496791</v>
      </c>
      <c r="U99" s="208" t="s">
        <v>105</v>
      </c>
      <c r="V99" s="4" t="s">
        <v>12</v>
      </c>
      <c r="X99" s="155"/>
      <c r="Y99" s="155">
        <v>161</v>
      </c>
      <c r="Z99" s="155">
        <v>176</v>
      </c>
      <c r="AA99" s="155"/>
      <c r="AB99" s="155"/>
      <c r="AC99" s="155">
        <v>73.7</v>
      </c>
      <c r="AD99" s="155"/>
      <c r="AE99" s="155">
        <v>73.7</v>
      </c>
      <c r="AF99" s="155"/>
      <c r="AG99" s="32">
        <f t="shared" si="28"/>
        <v>0</v>
      </c>
      <c r="AH99" s="32">
        <f t="shared" si="29"/>
        <v>234.7</v>
      </c>
      <c r="AI99" s="32">
        <f t="shared" si="30"/>
        <v>249.7</v>
      </c>
      <c r="AJ99" s="26"/>
      <c r="AK99" s="33"/>
      <c r="AL99" s="26"/>
      <c r="AM99" s="33">
        <v>220000</v>
      </c>
      <c r="AN99" s="26"/>
      <c r="AO99" s="33">
        <v>220000</v>
      </c>
      <c r="AP99" s="67">
        <f t="shared" si="31"/>
        <v>0</v>
      </c>
      <c r="AQ99" s="34" t="str">
        <f t="shared" si="32"/>
        <v>Not Avail.</v>
      </c>
      <c r="AR99" s="67">
        <f t="shared" si="33"/>
        <v>220000</v>
      </c>
      <c r="AS99" s="34">
        <f t="shared" si="34"/>
        <v>100</v>
      </c>
      <c r="AT99" s="28">
        <f t="shared" si="35"/>
        <v>161</v>
      </c>
      <c r="AU99" s="28">
        <f t="shared" si="36"/>
        <v>73.7</v>
      </c>
      <c r="AV99" s="28">
        <f t="shared" si="37"/>
        <v>234.7</v>
      </c>
      <c r="AW99" s="24">
        <f t="shared" si="38"/>
        <v>15</v>
      </c>
      <c r="AX99" s="24">
        <f t="shared" si="39"/>
        <v>0</v>
      </c>
      <c r="AY99" s="24">
        <f t="shared" si="40"/>
        <v>15</v>
      </c>
      <c r="AZ99" s="156">
        <f t="shared" si="41"/>
        <v>52272</v>
      </c>
      <c r="BA99" s="35">
        <f t="shared" si="42"/>
        <v>0.2376</v>
      </c>
      <c r="BB99" s="35">
        <f t="shared" si="43"/>
        <v>41.817600000000006</v>
      </c>
      <c r="BC99" s="36">
        <f t="shared" si="44"/>
        <v>17.511120000000002</v>
      </c>
      <c r="BD99" s="36">
        <f t="shared" si="45"/>
        <v>59.328720000000004</v>
      </c>
      <c r="BE99" s="36" t="str">
        <f t="shared" si="46"/>
        <v>yes</v>
      </c>
      <c r="BF99" s="37">
        <f t="shared" si="47"/>
        <v>0.2376</v>
      </c>
      <c r="BG99" s="37">
        <f t="shared" si="48"/>
        <v>38.253600000000006</v>
      </c>
      <c r="BH99" s="36">
        <f t="shared" si="49"/>
        <v>17.511120000000002</v>
      </c>
      <c r="BI99" s="38">
        <f t="shared" si="50"/>
        <v>55.76472000000001</v>
      </c>
      <c r="BJ99" s="1" t="str">
        <f t="shared" si="51"/>
        <v>yes</v>
      </c>
      <c r="BK99" s="37">
        <f t="shared" si="55"/>
        <v>3.564</v>
      </c>
      <c r="BL99" s="37">
        <f t="shared" si="55"/>
        <v>0</v>
      </c>
      <c r="BM99" s="7">
        <f t="shared" si="53"/>
        <v>3.563999999999993</v>
      </c>
      <c r="BN99" s="7">
        <f t="shared" si="54"/>
        <v>0</v>
      </c>
      <c r="BO99" s="7"/>
      <c r="BP99" s="7"/>
      <c r="BR99" s="7"/>
    </row>
    <row r="100" spans="2:66" ht="18" customHeight="1">
      <c r="B100" s="4" t="s">
        <v>12</v>
      </c>
      <c r="C100" s="4" t="s">
        <v>241</v>
      </c>
      <c r="D100" s="157" t="s">
        <v>157</v>
      </c>
      <c r="E100" s="158" t="s">
        <v>99</v>
      </c>
      <c r="F100" s="79">
        <f t="shared" si="14"/>
        <v>52272</v>
      </c>
      <c r="G100" s="80">
        <f t="shared" si="15"/>
        <v>40</v>
      </c>
      <c r="H100" s="149">
        <f t="shared" si="16"/>
        <v>4</v>
      </c>
      <c r="I100" s="150">
        <f t="shared" si="17"/>
        <v>58.596911999999996</v>
      </c>
      <c r="J100" s="83">
        <f t="shared" si="18"/>
        <v>56.95272</v>
      </c>
      <c r="K100" s="84">
        <f t="shared" si="19"/>
        <v>59.328720000000004</v>
      </c>
      <c r="L100" s="151">
        <f t="shared" si="20"/>
        <v>39.4416</v>
      </c>
      <c r="M100" s="152">
        <f t="shared" si="21"/>
        <v>41.817600000000006</v>
      </c>
      <c r="N100" s="188">
        <f t="shared" si="22"/>
        <v>0.06024096385542177</v>
      </c>
      <c r="O100" s="153">
        <f t="shared" si="23"/>
        <v>17.511120000000002</v>
      </c>
      <c r="P100" s="154">
        <f t="shared" si="24"/>
        <v>17.511120000000002</v>
      </c>
      <c r="Q100" s="176">
        <f t="shared" si="25"/>
        <v>0</v>
      </c>
      <c r="R100" s="100">
        <f t="shared" si="26"/>
        <v>2.3760000000000048</v>
      </c>
      <c r="S100" s="184">
        <f t="shared" si="27"/>
        <v>0.041718815185648815</v>
      </c>
      <c r="U100" s="208" t="s">
        <v>242</v>
      </c>
      <c r="V100" s="4" t="s">
        <v>12</v>
      </c>
      <c r="X100" s="32">
        <v>158</v>
      </c>
      <c r="Y100" s="32">
        <v>166</v>
      </c>
      <c r="Z100" s="32">
        <v>176</v>
      </c>
      <c r="AA100" s="32">
        <v>66.2</v>
      </c>
      <c r="AB100" s="32"/>
      <c r="AC100" s="32">
        <v>73.7</v>
      </c>
      <c r="AD100" s="32"/>
      <c r="AE100" s="32">
        <v>73.7</v>
      </c>
      <c r="AF100" s="32"/>
      <c r="AG100" s="32">
        <f t="shared" si="28"/>
        <v>224.2</v>
      </c>
      <c r="AH100" s="32">
        <f t="shared" si="29"/>
        <v>239.7</v>
      </c>
      <c r="AI100" s="32">
        <f t="shared" si="30"/>
        <v>249.7</v>
      </c>
      <c r="AJ100" s="26"/>
      <c r="AK100" s="33">
        <v>200000</v>
      </c>
      <c r="AL100" s="26"/>
      <c r="AM100" s="33">
        <v>220000</v>
      </c>
      <c r="AN100" s="26"/>
      <c r="AO100" s="33">
        <v>220000</v>
      </c>
      <c r="AP100" s="67">
        <f t="shared" si="31"/>
        <v>200000</v>
      </c>
      <c r="AQ100" s="34">
        <f t="shared" si="32"/>
        <v>110.00000000000001</v>
      </c>
      <c r="AR100" s="67">
        <f t="shared" si="33"/>
        <v>220000</v>
      </c>
      <c r="AS100" s="34">
        <f t="shared" si="34"/>
        <v>100</v>
      </c>
      <c r="AT100" s="28">
        <f t="shared" si="35"/>
        <v>166</v>
      </c>
      <c r="AU100" s="28">
        <f t="shared" si="36"/>
        <v>73.7</v>
      </c>
      <c r="AV100" s="28">
        <f t="shared" si="37"/>
        <v>239.7</v>
      </c>
      <c r="AW100" s="24">
        <f t="shared" si="38"/>
        <v>10</v>
      </c>
      <c r="AX100" s="24">
        <f t="shared" si="39"/>
        <v>0</v>
      </c>
      <c r="AY100" s="24">
        <f t="shared" si="40"/>
        <v>10</v>
      </c>
      <c r="AZ100" s="156">
        <f t="shared" si="41"/>
        <v>52272</v>
      </c>
      <c r="BA100" s="35">
        <f t="shared" si="42"/>
        <v>0.2376</v>
      </c>
      <c r="BB100" s="35">
        <f t="shared" si="43"/>
        <v>41.817600000000006</v>
      </c>
      <c r="BC100" s="36">
        <f t="shared" si="44"/>
        <v>17.511120000000002</v>
      </c>
      <c r="BD100" s="36">
        <f t="shared" si="45"/>
        <v>59.328720000000004</v>
      </c>
      <c r="BE100" s="36" t="str">
        <f t="shared" si="46"/>
        <v>yes</v>
      </c>
      <c r="BF100" s="37">
        <f t="shared" si="47"/>
        <v>0.2376</v>
      </c>
      <c r="BG100" s="37">
        <f t="shared" si="48"/>
        <v>39.4416</v>
      </c>
      <c r="BH100" s="36">
        <f t="shared" si="49"/>
        <v>17.511120000000002</v>
      </c>
      <c r="BI100" s="38">
        <f t="shared" si="50"/>
        <v>56.95272</v>
      </c>
      <c r="BJ100" s="1" t="str">
        <f t="shared" si="51"/>
        <v>yes</v>
      </c>
      <c r="BK100" s="37">
        <f aca="true" t="shared" si="56" ref="BK100:BL134">IF(BG100="","",IF(BG100=0,"",BB100-BG100))</f>
        <v>2.3760000000000048</v>
      </c>
      <c r="BL100" s="37">
        <f t="shared" si="56"/>
        <v>0</v>
      </c>
      <c r="BM100" s="7">
        <f t="shared" si="53"/>
        <v>2.3760000000000048</v>
      </c>
      <c r="BN100" s="7">
        <f t="shared" si="54"/>
        <v>0</v>
      </c>
    </row>
    <row r="101" spans="2:70" ht="18" customHeight="1">
      <c r="B101" s="4" t="s">
        <v>12</v>
      </c>
      <c r="C101" s="4" t="s">
        <v>95</v>
      </c>
      <c r="D101" s="157" t="s">
        <v>157</v>
      </c>
      <c r="E101" s="158" t="s">
        <v>170</v>
      </c>
      <c r="F101" s="79">
        <f t="shared" si="14"/>
        <v>52272</v>
      </c>
      <c r="G101" s="80">
        <f t="shared" si="15"/>
        <v>40</v>
      </c>
      <c r="H101" s="149">
        <f t="shared" si="16"/>
        <v>4</v>
      </c>
      <c r="I101" s="150">
        <f t="shared" si="17"/>
        <v>76.4478</v>
      </c>
      <c r="J101" s="83">
        <f t="shared" si="18"/>
        <v>71.96904</v>
      </c>
      <c r="K101" s="84">
        <f t="shared" si="19"/>
        <v>68.16744</v>
      </c>
      <c r="L101" s="151">
        <f t="shared" si="20"/>
        <v>31.125600000000002</v>
      </c>
      <c r="M101" s="152">
        <f t="shared" si="21"/>
        <v>27.324</v>
      </c>
      <c r="N101" s="188">
        <f t="shared" si="22"/>
        <v>-0.12213740458015265</v>
      </c>
      <c r="O101" s="153">
        <f t="shared" si="23"/>
        <v>40.84344</v>
      </c>
      <c r="P101" s="154">
        <f t="shared" si="24"/>
        <v>40.84344</v>
      </c>
      <c r="Q101" s="176">
        <f t="shared" si="25"/>
        <v>0</v>
      </c>
      <c r="R101" s="100">
        <f t="shared" si="26"/>
        <v>-3.8016000000000076</v>
      </c>
      <c r="S101" s="184">
        <f t="shared" si="27"/>
        <v>-0.052822713766919875</v>
      </c>
      <c r="U101" s="208" t="s">
        <v>95</v>
      </c>
      <c r="V101" s="4" t="s">
        <v>12</v>
      </c>
      <c r="X101" s="155">
        <v>128</v>
      </c>
      <c r="Y101" s="155">
        <v>131</v>
      </c>
      <c r="Z101" s="155">
        <v>115</v>
      </c>
      <c r="AA101" s="155">
        <v>164.5</v>
      </c>
      <c r="AB101" s="155"/>
      <c r="AC101" s="155">
        <v>171.9</v>
      </c>
      <c r="AD101" s="155"/>
      <c r="AE101" s="155">
        <v>171.9</v>
      </c>
      <c r="AF101" s="155"/>
      <c r="AG101" s="32">
        <f t="shared" si="28"/>
        <v>292.5</v>
      </c>
      <c r="AH101" s="32">
        <f t="shared" si="29"/>
        <v>302.9</v>
      </c>
      <c r="AI101" s="32">
        <f t="shared" si="30"/>
        <v>286.9</v>
      </c>
      <c r="AJ101" s="26"/>
      <c r="AK101" s="33">
        <v>200000</v>
      </c>
      <c r="AL101" s="26"/>
      <c r="AM101" s="33">
        <v>220000</v>
      </c>
      <c r="AN101" s="26"/>
      <c r="AO101" s="33">
        <v>220000</v>
      </c>
      <c r="AP101" s="67">
        <f t="shared" si="31"/>
        <v>200000</v>
      </c>
      <c r="AQ101" s="34">
        <f t="shared" si="32"/>
        <v>110.00000000000001</v>
      </c>
      <c r="AR101" s="67">
        <f t="shared" si="33"/>
        <v>220000</v>
      </c>
      <c r="AS101" s="34">
        <f t="shared" si="34"/>
        <v>100</v>
      </c>
      <c r="AT101" s="28">
        <f t="shared" si="35"/>
        <v>131</v>
      </c>
      <c r="AU101" s="28">
        <f t="shared" si="36"/>
        <v>171.9</v>
      </c>
      <c r="AV101" s="28">
        <f t="shared" si="37"/>
        <v>302.9</v>
      </c>
      <c r="AW101" s="24">
        <f t="shared" si="38"/>
        <v>-16</v>
      </c>
      <c r="AX101" s="24">
        <f t="shared" si="39"/>
        <v>0</v>
      </c>
      <c r="AY101" s="24">
        <f t="shared" si="40"/>
        <v>-16</v>
      </c>
      <c r="AZ101" s="156">
        <f t="shared" si="41"/>
        <v>52272</v>
      </c>
      <c r="BA101" s="35">
        <f t="shared" si="42"/>
        <v>0.2376</v>
      </c>
      <c r="BB101" s="35">
        <f t="shared" si="43"/>
        <v>27.324</v>
      </c>
      <c r="BC101" s="36">
        <f t="shared" si="44"/>
        <v>40.84344</v>
      </c>
      <c r="BD101" s="36">
        <f t="shared" si="45"/>
        <v>68.16744</v>
      </c>
      <c r="BE101" s="36" t="str">
        <f t="shared" si="46"/>
        <v>yes</v>
      </c>
      <c r="BF101" s="37">
        <f t="shared" si="47"/>
        <v>0.2376</v>
      </c>
      <c r="BG101" s="37">
        <f t="shared" si="48"/>
        <v>31.125600000000002</v>
      </c>
      <c r="BH101" s="36">
        <f t="shared" si="49"/>
        <v>40.84344</v>
      </c>
      <c r="BI101" s="38">
        <f t="shared" si="50"/>
        <v>71.96904</v>
      </c>
      <c r="BJ101" s="1" t="str">
        <f t="shared" si="51"/>
        <v>yes</v>
      </c>
      <c r="BK101" s="37">
        <f t="shared" si="56"/>
        <v>-3.8016000000000005</v>
      </c>
      <c r="BL101" s="37">
        <f t="shared" si="56"/>
        <v>0</v>
      </c>
      <c r="BM101" s="7">
        <f t="shared" si="53"/>
        <v>-3.8016000000000076</v>
      </c>
      <c r="BN101" s="7">
        <f t="shared" si="54"/>
        <v>0</v>
      </c>
      <c r="BO101" s="7"/>
      <c r="BP101" s="7"/>
      <c r="BR101" s="7"/>
    </row>
    <row r="102" spans="2:66" ht="18" customHeight="1">
      <c r="B102" s="4" t="s">
        <v>12</v>
      </c>
      <c r="C102" s="4" t="s">
        <v>25</v>
      </c>
      <c r="D102" s="157" t="s">
        <v>157</v>
      </c>
      <c r="E102" s="158" t="s">
        <v>27</v>
      </c>
      <c r="F102" s="79">
        <f t="shared" si="14"/>
        <v>52272</v>
      </c>
      <c r="G102" s="80">
        <f t="shared" si="15"/>
        <v>40</v>
      </c>
      <c r="H102" s="149">
        <f t="shared" si="16"/>
        <v>4</v>
      </c>
      <c r="I102" s="150">
        <f t="shared" si="17"/>
        <v>41.29488</v>
      </c>
      <c r="J102" s="83">
        <f t="shared" si="18"/>
        <v>38.253600000000006</v>
      </c>
      <c r="K102" s="84">
        <f t="shared" si="19"/>
        <v>40.6296</v>
      </c>
      <c r="L102" s="151">
        <f t="shared" si="20"/>
        <v>38.253600000000006</v>
      </c>
      <c r="M102" s="152">
        <f t="shared" si="21"/>
        <v>40.6296</v>
      </c>
      <c r="N102" s="188">
        <f t="shared" si="22"/>
        <v>0.06211180124223592</v>
      </c>
      <c r="O102" s="153">
        <f t="shared" si="23"/>
        <v>0</v>
      </c>
      <c r="P102" s="154">
        <f t="shared" si="24"/>
        <v>0</v>
      </c>
      <c r="Q102" s="176">
        <f t="shared" si="25"/>
      </c>
      <c r="R102" s="100">
        <f t="shared" si="26"/>
        <v>2.3759999999999977</v>
      </c>
      <c r="S102" s="184">
        <f t="shared" si="27"/>
        <v>0.062111801242235955</v>
      </c>
      <c r="U102" s="208" t="s">
        <v>25</v>
      </c>
      <c r="V102" s="4" t="s">
        <v>12</v>
      </c>
      <c r="X102" s="32">
        <v>158</v>
      </c>
      <c r="Y102" s="32">
        <v>161</v>
      </c>
      <c r="Z102" s="32">
        <v>171</v>
      </c>
      <c r="AA102" s="32"/>
      <c r="AB102" s="32"/>
      <c r="AC102" s="32"/>
      <c r="AD102" s="32"/>
      <c r="AE102" s="32"/>
      <c r="AF102" s="32"/>
      <c r="AG102" s="32">
        <f t="shared" si="28"/>
        <v>158</v>
      </c>
      <c r="AH102" s="32">
        <f t="shared" si="29"/>
        <v>161</v>
      </c>
      <c r="AI102" s="32">
        <f t="shared" si="30"/>
        <v>171</v>
      </c>
      <c r="AJ102" s="26"/>
      <c r="AK102" s="33">
        <v>200000</v>
      </c>
      <c r="AL102" s="26"/>
      <c r="AM102" s="33">
        <v>220000</v>
      </c>
      <c r="AN102" s="26"/>
      <c r="AO102" s="33">
        <v>220000</v>
      </c>
      <c r="AP102" s="67">
        <f t="shared" si="31"/>
        <v>200000</v>
      </c>
      <c r="AQ102" s="34">
        <f t="shared" si="32"/>
        <v>110.00000000000001</v>
      </c>
      <c r="AR102" s="67">
        <f t="shared" si="33"/>
        <v>220000</v>
      </c>
      <c r="AS102" s="34">
        <f t="shared" si="34"/>
        <v>100</v>
      </c>
      <c r="AT102" s="28">
        <f t="shared" si="35"/>
        <v>161</v>
      </c>
      <c r="AU102" s="28">
        <f t="shared" si="36"/>
      </c>
      <c r="AV102" s="28">
        <f t="shared" si="37"/>
        <v>161</v>
      </c>
      <c r="AW102" s="24">
        <f t="shared" si="38"/>
        <v>10</v>
      </c>
      <c r="AX102" s="24">
        <f t="shared" si="39"/>
      </c>
      <c r="AY102" s="24">
        <f t="shared" si="40"/>
        <v>10</v>
      </c>
      <c r="AZ102" s="156">
        <f t="shared" si="41"/>
        <v>52272</v>
      </c>
      <c r="BA102" s="35">
        <f t="shared" si="42"/>
        <v>0.2376</v>
      </c>
      <c r="BB102" s="35">
        <f t="shared" si="43"/>
        <v>40.6296</v>
      </c>
      <c r="BC102" s="36">
        <f t="shared" si="44"/>
        <v>0</v>
      </c>
      <c r="BD102" s="36">
        <f t="shared" si="45"/>
        <v>40.6296</v>
      </c>
      <c r="BE102" s="36" t="str">
        <f t="shared" si="46"/>
        <v>yes</v>
      </c>
      <c r="BF102" s="37">
        <f t="shared" si="47"/>
        <v>0.2376</v>
      </c>
      <c r="BG102" s="37">
        <f t="shared" si="48"/>
        <v>38.253600000000006</v>
      </c>
      <c r="BH102" s="36">
        <f t="shared" si="49"/>
        <v>0</v>
      </c>
      <c r="BI102" s="38">
        <f t="shared" si="50"/>
        <v>38.253600000000006</v>
      </c>
      <c r="BJ102" s="1" t="str">
        <f t="shared" si="51"/>
        <v>yes</v>
      </c>
      <c r="BK102" s="37">
        <f t="shared" si="56"/>
        <v>2.3759999999999977</v>
      </c>
      <c r="BL102" s="37">
        <f t="shared" si="56"/>
      </c>
      <c r="BM102" s="7">
        <f t="shared" si="53"/>
        <v>2.3759999999999977</v>
      </c>
      <c r="BN102" s="7">
        <f t="shared" si="54"/>
        <v>0</v>
      </c>
    </row>
    <row r="103" spans="4:66" ht="18" customHeight="1">
      <c r="D103" s="157" t="s">
        <v>157</v>
      </c>
      <c r="E103" s="158" t="s">
        <v>101</v>
      </c>
      <c r="F103" s="79">
        <f t="shared" si="14"/>
        <v>52272</v>
      </c>
      <c r="G103" s="80">
        <f t="shared" si="15"/>
        <v>40</v>
      </c>
      <c r="H103" s="149">
        <f t="shared" si="16"/>
        <v>4</v>
      </c>
      <c r="I103" s="150">
        <f t="shared" si="17"/>
      </c>
      <c r="J103" s="83">
        <f t="shared" si="18"/>
        <v>55.76472000000001</v>
      </c>
      <c r="K103" s="84">
        <f t="shared" si="19"/>
        <v>58.14072</v>
      </c>
      <c r="L103" s="151">
        <f t="shared" si="20"/>
        <v>38.253600000000006</v>
      </c>
      <c r="M103" s="152">
        <f t="shared" si="21"/>
        <v>40.6296</v>
      </c>
      <c r="N103" s="188">
        <f t="shared" si="22"/>
        <v>0.06211180124223592</v>
      </c>
      <c r="O103" s="153">
        <f t="shared" si="23"/>
        <v>17.511120000000002</v>
      </c>
      <c r="P103" s="154">
        <f t="shared" si="24"/>
        <v>17.511120000000002</v>
      </c>
      <c r="Q103" s="176">
        <f t="shared" si="25"/>
        <v>0</v>
      </c>
      <c r="R103" s="100">
        <f t="shared" si="26"/>
        <v>2.3759999999999906</v>
      </c>
      <c r="S103" s="184">
        <f t="shared" si="27"/>
        <v>0.04260758414997852</v>
      </c>
      <c r="U103" s="208" t="s">
        <v>104</v>
      </c>
      <c r="V103" s="4" t="s">
        <v>12</v>
      </c>
      <c r="X103" s="32"/>
      <c r="Y103" s="32">
        <v>161</v>
      </c>
      <c r="Z103" s="32">
        <v>171</v>
      </c>
      <c r="AA103" s="32"/>
      <c r="AB103" s="32"/>
      <c r="AC103" s="32">
        <v>73.7</v>
      </c>
      <c r="AD103" s="32"/>
      <c r="AE103" s="32">
        <v>73.7</v>
      </c>
      <c r="AF103" s="32"/>
      <c r="AG103" s="32">
        <f t="shared" si="28"/>
        <v>0</v>
      </c>
      <c r="AH103" s="32">
        <f t="shared" si="29"/>
        <v>234.7</v>
      </c>
      <c r="AI103" s="32">
        <f t="shared" si="30"/>
        <v>244.7</v>
      </c>
      <c r="AJ103" s="26"/>
      <c r="AK103" s="33"/>
      <c r="AL103" s="26"/>
      <c r="AM103" s="33">
        <v>220000</v>
      </c>
      <c r="AN103" s="26"/>
      <c r="AO103" s="33">
        <v>220000</v>
      </c>
      <c r="AP103" s="67">
        <f t="shared" si="31"/>
        <v>0</v>
      </c>
      <c r="AQ103" s="34" t="str">
        <f t="shared" si="32"/>
        <v>Not Avail.</v>
      </c>
      <c r="AR103" s="67">
        <f t="shared" si="33"/>
        <v>220000</v>
      </c>
      <c r="AS103" s="34">
        <f t="shared" si="34"/>
        <v>100</v>
      </c>
      <c r="AT103" s="28">
        <f t="shared" si="35"/>
        <v>161</v>
      </c>
      <c r="AU103" s="28">
        <f t="shared" si="36"/>
        <v>73.7</v>
      </c>
      <c r="AV103" s="28">
        <f t="shared" si="37"/>
        <v>234.7</v>
      </c>
      <c r="AW103" s="24">
        <f t="shared" si="38"/>
        <v>10</v>
      </c>
      <c r="AX103" s="24">
        <f t="shared" si="39"/>
        <v>0</v>
      </c>
      <c r="AY103" s="24">
        <f t="shared" si="40"/>
        <v>10</v>
      </c>
      <c r="AZ103" s="156">
        <f t="shared" si="41"/>
        <v>52272</v>
      </c>
      <c r="BA103" s="35">
        <f t="shared" si="42"/>
        <v>0.2376</v>
      </c>
      <c r="BB103" s="35">
        <f t="shared" si="43"/>
        <v>40.6296</v>
      </c>
      <c r="BC103" s="36">
        <f t="shared" si="44"/>
        <v>17.511120000000002</v>
      </c>
      <c r="BD103" s="36">
        <f t="shared" si="45"/>
        <v>58.14072</v>
      </c>
      <c r="BE103" s="36" t="str">
        <f t="shared" si="46"/>
        <v>yes</v>
      </c>
      <c r="BF103" s="37">
        <f t="shared" si="47"/>
        <v>0.2376</v>
      </c>
      <c r="BG103" s="37">
        <f t="shared" si="48"/>
        <v>38.253600000000006</v>
      </c>
      <c r="BH103" s="36">
        <f t="shared" si="49"/>
        <v>17.511120000000002</v>
      </c>
      <c r="BI103" s="38">
        <f t="shared" si="50"/>
        <v>55.76472000000001</v>
      </c>
      <c r="BJ103" s="1" t="str">
        <f t="shared" si="51"/>
        <v>yes</v>
      </c>
      <c r="BK103" s="37">
        <f t="shared" si="56"/>
        <v>2.3759999999999977</v>
      </c>
      <c r="BL103" s="37">
        <f t="shared" si="56"/>
        <v>0</v>
      </c>
      <c r="BM103" s="7">
        <f t="shared" si="53"/>
        <v>2.3759999999999906</v>
      </c>
      <c r="BN103" s="7">
        <f t="shared" si="54"/>
        <v>0</v>
      </c>
    </row>
    <row r="104" spans="2:70" ht="18" customHeight="1">
      <c r="B104" s="4" t="s">
        <v>12</v>
      </c>
      <c r="C104" s="4" t="s">
        <v>95</v>
      </c>
      <c r="D104" s="157" t="s">
        <v>157</v>
      </c>
      <c r="E104" s="158" t="s">
        <v>174</v>
      </c>
      <c r="F104" s="79">
        <f aca="true" t="shared" si="57" ref="F104:F146">IF($J$11&gt;0,$J$11,$M$11)</f>
        <v>52272</v>
      </c>
      <c r="G104" s="80">
        <f aca="true" t="shared" si="58" ref="G104:G146">$K$11</f>
        <v>40</v>
      </c>
      <c r="H104" s="149">
        <f aca="true" t="shared" si="59" ref="H104:H146">$L$11</f>
        <v>4</v>
      </c>
      <c r="I104" s="150">
        <f aca="true" t="shared" si="60" ref="I104:I146">IF(AK104="","",IF($F104&gt;0,($F104/$AK104)*AG104,IF($G104&gt;0,(((43560/($G104/12))*$H104)/$AK104)*AG104,0)))</f>
        <v>76.4478</v>
      </c>
      <c r="J104" s="83">
        <f aca="true" t="shared" si="61" ref="J104:J146">BI104</f>
        <v>67.92984</v>
      </c>
      <c r="K104" s="84">
        <f aca="true" t="shared" si="62" ref="K104:K146">BD104</f>
        <v>68.16744</v>
      </c>
      <c r="L104" s="151">
        <f aca="true" t="shared" si="63" ref="L104:L146">BG104</f>
        <v>27.0864</v>
      </c>
      <c r="M104" s="152">
        <f aca="true" t="shared" si="64" ref="M104:M146">BB104</f>
        <v>27.324</v>
      </c>
      <c r="N104" s="188">
        <f aca="true" t="shared" si="65" ref="N104:N146">IF(R104="New","New",(M104/L104)-1)</f>
        <v>0.00877192982456143</v>
      </c>
      <c r="O104" s="153">
        <f aca="true" t="shared" si="66" ref="O104:O146">IF(AW104="","",BH104)</f>
        <v>40.84344</v>
      </c>
      <c r="P104" s="154">
        <f aca="true" t="shared" si="67" ref="P104:P146">IF(BC104="","",BC104)</f>
        <v>40.84344</v>
      </c>
      <c r="Q104" s="176">
        <f aca="true" t="shared" si="68" ref="Q104:Q146">IF(R104="New","New",IF(AX104="","",(P104/O104)-1))</f>
        <v>0</v>
      </c>
      <c r="R104" s="100">
        <f aca="true" t="shared" si="69" ref="R104:R146">IF(J104="","New",IF(J104=0,"New",K104-J104))</f>
        <v>0.23760000000000048</v>
      </c>
      <c r="S104" s="184">
        <f aca="true" t="shared" si="70" ref="S104:S146">IF(R104="New","",R104/J104)</f>
        <v>0.003497726477789444</v>
      </c>
      <c r="U104" s="208" t="s">
        <v>95</v>
      </c>
      <c r="V104" s="4" t="s">
        <v>12</v>
      </c>
      <c r="X104" s="155">
        <v>128</v>
      </c>
      <c r="Y104" s="155">
        <v>114</v>
      </c>
      <c r="Z104" s="155">
        <v>115</v>
      </c>
      <c r="AA104" s="155">
        <v>164.5</v>
      </c>
      <c r="AB104" s="155"/>
      <c r="AC104" s="155">
        <v>171.9</v>
      </c>
      <c r="AD104" s="155"/>
      <c r="AE104" s="155">
        <v>171.9</v>
      </c>
      <c r="AF104" s="155"/>
      <c r="AG104" s="32">
        <f aca="true" t="shared" si="71" ref="AG104:AG146">X104+(AA104+AB104)</f>
        <v>292.5</v>
      </c>
      <c r="AH104" s="32">
        <f aca="true" t="shared" si="72" ref="AH104:AH146">Y104+(AC104+AD104)</f>
        <v>285.9</v>
      </c>
      <c r="AI104" s="32">
        <f aca="true" t="shared" si="73" ref="AI104:AI146">Z104+(AE104+AF104)</f>
        <v>286.9</v>
      </c>
      <c r="AJ104" s="26"/>
      <c r="AK104" s="33">
        <v>200000</v>
      </c>
      <c r="AL104" s="26"/>
      <c r="AM104" s="33">
        <v>220000</v>
      </c>
      <c r="AN104" s="26"/>
      <c r="AO104" s="33">
        <v>220000</v>
      </c>
      <c r="AP104" s="67">
        <f aca="true" t="shared" si="74" ref="AP104:AP146">AK104</f>
        <v>200000</v>
      </c>
      <c r="AQ104" s="34">
        <f aca="true" t="shared" si="75" ref="AQ104:AQ146">IF(AK104&gt;0,AM104/AK104*100,"Not Avail.")</f>
        <v>110.00000000000001</v>
      </c>
      <c r="AR104" s="67">
        <f aca="true" t="shared" si="76" ref="AR104:AR146">AM104</f>
        <v>220000</v>
      </c>
      <c r="AS104" s="34">
        <f aca="true" t="shared" si="77" ref="AS104:AS146">IF(AM104&gt;0,AO104/AM104*100,"Not Avail.")</f>
        <v>100</v>
      </c>
      <c r="AT104" s="28">
        <f aca="true" t="shared" si="78" ref="AT104:AT146">IF(Y104="","",Y104/AS104*100)</f>
        <v>113.99999999999999</v>
      </c>
      <c r="AU104" s="28">
        <f aca="true" t="shared" si="79" ref="AU104:AU146">IF(AC104="","",((AC104+AD104)/AS104*100))</f>
        <v>171.9</v>
      </c>
      <c r="AV104" s="28">
        <f aca="true" t="shared" si="80" ref="AV104:AV146">IF(AT104="","",SUM(AT104:AU104))</f>
        <v>285.9</v>
      </c>
      <c r="AW104" s="24">
        <f aca="true" t="shared" si="81" ref="AW104:AW146">IF(AT104="","",Z104-AT104)</f>
        <v>1.0000000000000142</v>
      </c>
      <c r="AX104" s="24">
        <f aca="true" t="shared" si="82" ref="AX104:AX146">IF(AU104="","",(AE104+AF104)-AU104)</f>
        <v>0</v>
      </c>
      <c r="AY104" s="24">
        <f aca="true" t="shared" si="83" ref="AY104:AY146">IF(AH104&gt;0,AI104-AV104,"New")</f>
        <v>1</v>
      </c>
      <c r="AZ104" s="156">
        <f aca="true" t="shared" si="84" ref="AZ104:AZ146">F104</f>
        <v>52272</v>
      </c>
      <c r="BA104" s="35">
        <f aca="true" t="shared" si="85" ref="BA104:BA146">IF($F104&gt;0,($F104/$AO104),IF($G104&gt;0,(((43560/($G104/12))*$H104)/$AO104),0))</f>
        <v>0.2376</v>
      </c>
      <c r="BB104" s="35">
        <f aca="true" t="shared" si="86" ref="BB104:BB146">Z104/(1/BA104)</f>
        <v>27.324</v>
      </c>
      <c r="BC104" s="36">
        <f aca="true" t="shared" si="87" ref="BC104:BC146">((AE104+AF104)/(1/BA104))</f>
        <v>40.84344</v>
      </c>
      <c r="BD104" s="36">
        <f aca="true" t="shared" si="88" ref="BD104:BD146">BB104+BC104</f>
        <v>68.16744</v>
      </c>
      <c r="BE104" s="36" t="str">
        <f aca="true" t="shared" si="89" ref="BE104:BE146">IF(BD104=K104,"yes","no")</f>
        <v>yes</v>
      </c>
      <c r="BF104" s="37">
        <f aca="true" t="shared" si="90" ref="BF104:BF146">IF(AM104="","",IF($F104&gt;0,($F104/AM104),IF($G104&gt;0,((((43560/($G104/12))*$H104)/$AM104)),0)))</f>
        <v>0.2376</v>
      </c>
      <c r="BG104" s="37">
        <f aca="true" t="shared" si="91" ref="BG104:BG146">IF(Y104="","",Y104/(1/BF104))</f>
        <v>27.0864</v>
      </c>
      <c r="BH104" s="36">
        <f aca="true" t="shared" si="92" ref="BH104:BH146">((AC104+AD104)/(1/BF104))</f>
        <v>40.84344</v>
      </c>
      <c r="BI104" s="38">
        <f aca="true" t="shared" si="93" ref="BI104:BI146">SUM(BG104:BH104)</f>
        <v>67.92984</v>
      </c>
      <c r="BJ104" s="1" t="str">
        <f aca="true" t="shared" si="94" ref="BJ104:BJ146">IF(J104=BI104,"yes","no")</f>
        <v>yes</v>
      </c>
      <c r="BK104" s="37">
        <f t="shared" si="56"/>
        <v>0.23760000000000048</v>
      </c>
      <c r="BL104" s="37">
        <f t="shared" si="56"/>
        <v>0</v>
      </c>
      <c r="BM104" s="7">
        <f aca="true" t="shared" si="95" ref="BM104:BM146">IF(BK104="","",BD104-BI104)</f>
        <v>0.23760000000000048</v>
      </c>
      <c r="BN104" s="7">
        <f aca="true" t="shared" si="96" ref="BN104:BN146">R104-BM104</f>
        <v>0</v>
      </c>
      <c r="BO104" s="7"/>
      <c r="BP104" s="7"/>
      <c r="BR104" s="7"/>
    </row>
    <row r="105" spans="2:66" ht="18" customHeight="1">
      <c r="B105" s="4" t="s">
        <v>12</v>
      </c>
      <c r="C105" s="29" t="s">
        <v>97</v>
      </c>
      <c r="D105" s="157" t="s">
        <v>157</v>
      </c>
      <c r="E105" s="158" t="s">
        <v>178</v>
      </c>
      <c r="F105" s="79">
        <f t="shared" si="57"/>
        <v>52272</v>
      </c>
      <c r="G105" s="80">
        <f t="shared" si="58"/>
        <v>40</v>
      </c>
      <c r="H105" s="149">
        <f t="shared" si="59"/>
        <v>4</v>
      </c>
      <c r="I105" s="150">
        <f t="shared" si="60"/>
        <v>66.38543999999999</v>
      </c>
      <c r="J105" s="83">
        <f t="shared" si="61"/>
        <v>63.34416</v>
      </c>
      <c r="K105" s="84">
        <f t="shared" si="62"/>
        <v>64.53216</v>
      </c>
      <c r="L105" s="151">
        <f t="shared" si="63"/>
        <v>31.125600000000002</v>
      </c>
      <c r="M105" s="152">
        <f t="shared" si="64"/>
        <v>32.3136</v>
      </c>
      <c r="N105" s="188">
        <f t="shared" si="65"/>
        <v>0.03816793893129766</v>
      </c>
      <c r="O105" s="153">
        <f t="shared" si="66"/>
        <v>32.218560000000004</v>
      </c>
      <c r="P105" s="154">
        <f t="shared" si="67"/>
        <v>32.218560000000004</v>
      </c>
      <c r="Q105" s="176">
        <f t="shared" si="68"/>
        <v>0</v>
      </c>
      <c r="R105" s="100">
        <f t="shared" si="69"/>
        <v>1.1880000000000024</v>
      </c>
      <c r="S105" s="184">
        <f t="shared" si="70"/>
        <v>0.01875468867216808</v>
      </c>
      <c r="U105" s="207" t="s">
        <v>97</v>
      </c>
      <c r="V105" s="4" t="s">
        <v>12</v>
      </c>
      <c r="X105" s="161">
        <v>128</v>
      </c>
      <c r="Y105" s="161">
        <v>131</v>
      </c>
      <c r="Z105" s="161">
        <v>136</v>
      </c>
      <c r="AA105" s="161">
        <v>126</v>
      </c>
      <c r="AB105" s="161"/>
      <c r="AC105" s="161">
        <v>135.6</v>
      </c>
      <c r="AD105" s="161"/>
      <c r="AE105" s="161">
        <v>135.6</v>
      </c>
      <c r="AF105" s="161"/>
      <c r="AG105" s="32">
        <f t="shared" si="71"/>
        <v>254</v>
      </c>
      <c r="AH105" s="32">
        <f t="shared" si="72"/>
        <v>266.6</v>
      </c>
      <c r="AI105" s="32">
        <f t="shared" si="73"/>
        <v>271.6</v>
      </c>
      <c r="AJ105" s="26"/>
      <c r="AK105" s="33">
        <v>200000</v>
      </c>
      <c r="AL105" s="26"/>
      <c r="AM105" s="33">
        <v>220000</v>
      </c>
      <c r="AN105" s="26"/>
      <c r="AO105" s="33">
        <v>220000</v>
      </c>
      <c r="AP105" s="67">
        <f t="shared" si="74"/>
        <v>200000</v>
      </c>
      <c r="AQ105" s="34">
        <f t="shared" si="75"/>
        <v>110.00000000000001</v>
      </c>
      <c r="AR105" s="67">
        <f t="shared" si="76"/>
        <v>220000</v>
      </c>
      <c r="AS105" s="34">
        <f t="shared" si="77"/>
        <v>100</v>
      </c>
      <c r="AT105" s="28">
        <f t="shared" si="78"/>
        <v>131</v>
      </c>
      <c r="AU105" s="28">
        <f t="shared" si="79"/>
        <v>135.6</v>
      </c>
      <c r="AV105" s="28">
        <f t="shared" si="80"/>
        <v>266.6</v>
      </c>
      <c r="AW105" s="24">
        <f t="shared" si="81"/>
        <v>5</v>
      </c>
      <c r="AX105" s="24">
        <f t="shared" si="82"/>
        <v>0</v>
      </c>
      <c r="AY105" s="24">
        <f t="shared" si="83"/>
        <v>5</v>
      </c>
      <c r="AZ105" s="156">
        <f t="shared" si="84"/>
        <v>52272</v>
      </c>
      <c r="BA105" s="35">
        <f t="shared" si="85"/>
        <v>0.2376</v>
      </c>
      <c r="BB105" s="35">
        <f t="shared" si="86"/>
        <v>32.3136</v>
      </c>
      <c r="BC105" s="36">
        <f t="shared" si="87"/>
        <v>32.218560000000004</v>
      </c>
      <c r="BD105" s="36">
        <f t="shared" si="88"/>
        <v>64.53216</v>
      </c>
      <c r="BE105" s="36" t="str">
        <f t="shared" si="89"/>
        <v>yes</v>
      </c>
      <c r="BF105" s="37">
        <f t="shared" si="90"/>
        <v>0.2376</v>
      </c>
      <c r="BG105" s="37">
        <f t="shared" si="91"/>
        <v>31.125600000000002</v>
      </c>
      <c r="BH105" s="36">
        <f t="shared" si="92"/>
        <v>32.218560000000004</v>
      </c>
      <c r="BI105" s="38">
        <f t="shared" si="93"/>
        <v>63.34416</v>
      </c>
      <c r="BJ105" s="1" t="str">
        <f t="shared" si="94"/>
        <v>yes</v>
      </c>
      <c r="BK105" s="37">
        <f t="shared" si="56"/>
        <v>1.1879999999999988</v>
      </c>
      <c r="BL105" s="37">
        <f t="shared" si="56"/>
        <v>0</v>
      </c>
      <c r="BM105" s="7">
        <f t="shared" si="95"/>
        <v>1.1880000000000024</v>
      </c>
      <c r="BN105" s="7">
        <f t="shared" si="96"/>
        <v>0</v>
      </c>
    </row>
    <row r="106" spans="2:66" ht="18" customHeight="1">
      <c r="B106" s="4" t="s">
        <v>12</v>
      </c>
      <c r="C106" s="4" t="s">
        <v>95</v>
      </c>
      <c r="D106" s="157" t="s">
        <v>157</v>
      </c>
      <c r="E106" s="158" t="s">
        <v>176</v>
      </c>
      <c r="F106" s="79">
        <f t="shared" si="57"/>
        <v>52272</v>
      </c>
      <c r="G106" s="80">
        <f t="shared" si="58"/>
        <v>40</v>
      </c>
      <c r="H106" s="149">
        <f t="shared" si="59"/>
        <v>4</v>
      </c>
      <c r="I106" s="150">
        <f t="shared" si="60"/>
        <v>76.4478</v>
      </c>
      <c r="J106" s="83">
        <f t="shared" si="61"/>
        <v>71.96904</v>
      </c>
      <c r="K106" s="84">
        <f t="shared" si="62"/>
        <v>73.15704</v>
      </c>
      <c r="L106" s="151">
        <f t="shared" si="63"/>
        <v>31.125600000000002</v>
      </c>
      <c r="M106" s="152">
        <f t="shared" si="64"/>
        <v>32.3136</v>
      </c>
      <c r="N106" s="188">
        <f t="shared" si="65"/>
        <v>0.03816793893129766</v>
      </c>
      <c r="O106" s="153">
        <f t="shared" si="66"/>
        <v>40.84344</v>
      </c>
      <c r="P106" s="154">
        <f t="shared" si="67"/>
        <v>40.84344</v>
      </c>
      <c r="Q106" s="176">
        <f t="shared" si="68"/>
        <v>0</v>
      </c>
      <c r="R106" s="100">
        <f t="shared" si="69"/>
        <v>1.1879999999999882</v>
      </c>
      <c r="S106" s="184">
        <f t="shared" si="70"/>
        <v>0.016507098052162265</v>
      </c>
      <c r="U106" s="208" t="s">
        <v>95</v>
      </c>
      <c r="V106" s="4" t="s">
        <v>12</v>
      </c>
      <c r="X106" s="155">
        <v>128</v>
      </c>
      <c r="Y106" s="155">
        <v>131</v>
      </c>
      <c r="Z106" s="155">
        <v>136</v>
      </c>
      <c r="AA106" s="155">
        <v>164.5</v>
      </c>
      <c r="AB106" s="155"/>
      <c r="AC106" s="155">
        <v>171.9</v>
      </c>
      <c r="AD106" s="155"/>
      <c r="AE106" s="155">
        <v>171.9</v>
      </c>
      <c r="AF106" s="155"/>
      <c r="AG106" s="32">
        <f t="shared" si="71"/>
        <v>292.5</v>
      </c>
      <c r="AH106" s="32">
        <f t="shared" si="72"/>
        <v>302.9</v>
      </c>
      <c r="AI106" s="32">
        <f t="shared" si="73"/>
        <v>307.9</v>
      </c>
      <c r="AJ106" s="26"/>
      <c r="AK106" s="33">
        <v>200000</v>
      </c>
      <c r="AL106" s="26"/>
      <c r="AM106" s="33">
        <v>220000</v>
      </c>
      <c r="AN106" s="26"/>
      <c r="AO106" s="33">
        <v>220000</v>
      </c>
      <c r="AP106" s="67">
        <f t="shared" si="74"/>
        <v>200000</v>
      </c>
      <c r="AQ106" s="34">
        <f t="shared" si="75"/>
        <v>110.00000000000001</v>
      </c>
      <c r="AR106" s="67">
        <f t="shared" si="76"/>
        <v>220000</v>
      </c>
      <c r="AS106" s="34">
        <f t="shared" si="77"/>
        <v>100</v>
      </c>
      <c r="AT106" s="28">
        <f t="shared" si="78"/>
        <v>131</v>
      </c>
      <c r="AU106" s="28">
        <f t="shared" si="79"/>
        <v>171.9</v>
      </c>
      <c r="AV106" s="28">
        <f t="shared" si="80"/>
        <v>302.9</v>
      </c>
      <c r="AW106" s="24">
        <f t="shared" si="81"/>
        <v>5</v>
      </c>
      <c r="AX106" s="24">
        <f t="shared" si="82"/>
        <v>0</v>
      </c>
      <c r="AY106" s="24">
        <f t="shared" si="83"/>
        <v>5</v>
      </c>
      <c r="AZ106" s="156">
        <f t="shared" si="84"/>
        <v>52272</v>
      </c>
      <c r="BA106" s="35">
        <f t="shared" si="85"/>
        <v>0.2376</v>
      </c>
      <c r="BB106" s="35">
        <f t="shared" si="86"/>
        <v>32.3136</v>
      </c>
      <c r="BC106" s="36">
        <f t="shared" si="87"/>
        <v>40.84344</v>
      </c>
      <c r="BD106" s="36">
        <f t="shared" si="88"/>
        <v>73.15704</v>
      </c>
      <c r="BE106" s="36" t="str">
        <f t="shared" si="89"/>
        <v>yes</v>
      </c>
      <c r="BF106" s="37">
        <f t="shared" si="90"/>
        <v>0.2376</v>
      </c>
      <c r="BG106" s="37">
        <f t="shared" si="91"/>
        <v>31.125600000000002</v>
      </c>
      <c r="BH106" s="36">
        <f t="shared" si="92"/>
        <v>40.84344</v>
      </c>
      <c r="BI106" s="38">
        <f t="shared" si="93"/>
        <v>71.96904</v>
      </c>
      <c r="BJ106" s="1" t="str">
        <f t="shared" si="94"/>
        <v>yes</v>
      </c>
      <c r="BK106" s="37">
        <f t="shared" si="56"/>
        <v>1.1879999999999988</v>
      </c>
      <c r="BL106" s="37">
        <f t="shared" si="56"/>
        <v>0</v>
      </c>
      <c r="BM106" s="7">
        <f t="shared" si="95"/>
        <v>1.1879999999999882</v>
      </c>
      <c r="BN106" s="7">
        <f t="shared" si="96"/>
        <v>0</v>
      </c>
    </row>
    <row r="107" spans="3:66" ht="18" customHeight="1">
      <c r="C107" s="29"/>
      <c r="D107" s="157" t="s">
        <v>157</v>
      </c>
      <c r="E107" s="158" t="s">
        <v>102</v>
      </c>
      <c r="F107" s="79">
        <f t="shared" si="57"/>
        <v>52272</v>
      </c>
      <c r="G107" s="80">
        <f t="shared" si="58"/>
        <v>40</v>
      </c>
      <c r="H107" s="149">
        <f t="shared" si="59"/>
        <v>4</v>
      </c>
      <c r="I107" s="150">
        <f t="shared" si="60"/>
      </c>
      <c r="J107" s="83">
        <f t="shared" si="61"/>
        <v>0</v>
      </c>
      <c r="K107" s="84">
        <f t="shared" si="62"/>
        <v>62.013600000000004</v>
      </c>
      <c r="L107" s="151">
        <f t="shared" si="63"/>
      </c>
      <c r="M107" s="152">
        <f t="shared" si="64"/>
        <v>62.013600000000004</v>
      </c>
      <c r="N107" s="188" t="str">
        <f t="shared" si="65"/>
        <v>New</v>
      </c>
      <c r="O107" s="153">
        <f t="shared" si="66"/>
      </c>
      <c r="P107" s="154">
        <f t="shared" si="67"/>
        <v>0</v>
      </c>
      <c r="Q107" s="176" t="str">
        <f t="shared" si="68"/>
        <v>New</v>
      </c>
      <c r="R107" s="100" t="str">
        <f t="shared" si="69"/>
        <v>New</v>
      </c>
      <c r="S107" s="184">
        <f t="shared" si="70"/>
      </c>
      <c r="U107" s="207" t="s">
        <v>206</v>
      </c>
      <c r="V107" s="4" t="s">
        <v>12</v>
      </c>
      <c r="X107" s="39"/>
      <c r="Y107" s="39"/>
      <c r="Z107" s="39">
        <v>261</v>
      </c>
      <c r="AA107" s="39"/>
      <c r="AB107" s="39"/>
      <c r="AC107" s="39"/>
      <c r="AD107" s="39"/>
      <c r="AE107" s="39"/>
      <c r="AF107" s="39"/>
      <c r="AG107" s="32">
        <f t="shared" si="71"/>
        <v>0</v>
      </c>
      <c r="AH107" s="32">
        <f t="shared" si="72"/>
        <v>0</v>
      </c>
      <c r="AI107" s="32">
        <f t="shared" si="73"/>
        <v>261</v>
      </c>
      <c r="AJ107" s="26"/>
      <c r="AK107" s="33"/>
      <c r="AL107" s="26"/>
      <c r="AM107" s="33">
        <v>220000</v>
      </c>
      <c r="AN107" s="26"/>
      <c r="AO107" s="33">
        <v>220000</v>
      </c>
      <c r="AP107" s="67">
        <f t="shared" si="74"/>
        <v>0</v>
      </c>
      <c r="AQ107" s="34" t="str">
        <f t="shared" si="75"/>
        <v>Not Avail.</v>
      </c>
      <c r="AR107" s="67">
        <f t="shared" si="76"/>
        <v>220000</v>
      </c>
      <c r="AS107" s="34">
        <f t="shared" si="77"/>
        <v>100</v>
      </c>
      <c r="AT107" s="28">
        <f t="shared" si="78"/>
      </c>
      <c r="AU107" s="28">
        <f t="shared" si="79"/>
      </c>
      <c r="AV107" s="28">
        <f t="shared" si="80"/>
      </c>
      <c r="AW107" s="24">
        <f t="shared" si="81"/>
      </c>
      <c r="AX107" s="24">
        <f t="shared" si="82"/>
      </c>
      <c r="AY107" s="24" t="str">
        <f t="shared" si="83"/>
        <v>New</v>
      </c>
      <c r="AZ107" s="156">
        <f t="shared" si="84"/>
        <v>52272</v>
      </c>
      <c r="BA107" s="35">
        <f t="shared" si="85"/>
        <v>0.2376</v>
      </c>
      <c r="BB107" s="35">
        <f t="shared" si="86"/>
        <v>62.013600000000004</v>
      </c>
      <c r="BC107" s="36">
        <f t="shared" si="87"/>
        <v>0</v>
      </c>
      <c r="BD107" s="36">
        <f t="shared" si="88"/>
        <v>62.013600000000004</v>
      </c>
      <c r="BE107" s="36" t="str">
        <f t="shared" si="89"/>
        <v>yes</v>
      </c>
      <c r="BF107" s="37">
        <f t="shared" si="90"/>
        <v>0.2376</v>
      </c>
      <c r="BG107" s="37">
        <f t="shared" si="91"/>
      </c>
      <c r="BH107" s="36">
        <f t="shared" si="92"/>
        <v>0</v>
      </c>
      <c r="BI107" s="38">
        <f t="shared" si="93"/>
        <v>0</v>
      </c>
      <c r="BJ107" s="1" t="str">
        <f t="shared" si="94"/>
        <v>yes</v>
      </c>
      <c r="BK107" s="37">
        <f t="shared" si="56"/>
      </c>
      <c r="BL107" s="37">
        <f t="shared" si="56"/>
      </c>
      <c r="BM107" s="7">
        <f t="shared" si="95"/>
      </c>
      <c r="BN107" s="7" t="e">
        <f t="shared" si="96"/>
        <v>#VALUE!</v>
      </c>
    </row>
    <row r="108" spans="3:66" ht="18" customHeight="1">
      <c r="C108" s="29"/>
      <c r="D108" s="157" t="s">
        <v>157</v>
      </c>
      <c r="E108" s="158" t="s">
        <v>103</v>
      </c>
      <c r="F108" s="79">
        <f t="shared" si="57"/>
        <v>52272</v>
      </c>
      <c r="G108" s="80">
        <f t="shared" si="58"/>
        <v>40</v>
      </c>
      <c r="H108" s="149">
        <f t="shared" si="59"/>
        <v>4</v>
      </c>
      <c r="I108" s="150">
        <f t="shared" si="60"/>
      </c>
      <c r="J108" s="83">
        <f t="shared" si="61"/>
        <v>0</v>
      </c>
      <c r="K108" s="84">
        <f t="shared" si="62"/>
        <v>62.013600000000004</v>
      </c>
      <c r="L108" s="151">
        <f t="shared" si="63"/>
      </c>
      <c r="M108" s="152">
        <f t="shared" si="64"/>
        <v>62.013600000000004</v>
      </c>
      <c r="N108" s="188" t="str">
        <f t="shared" si="65"/>
        <v>New</v>
      </c>
      <c r="O108" s="153">
        <f t="shared" si="66"/>
      </c>
      <c r="P108" s="154">
        <f t="shared" si="67"/>
        <v>0</v>
      </c>
      <c r="Q108" s="176" t="str">
        <f t="shared" si="68"/>
        <v>New</v>
      </c>
      <c r="R108" s="100" t="str">
        <f t="shared" si="69"/>
        <v>New</v>
      </c>
      <c r="S108" s="184">
        <f t="shared" si="70"/>
      </c>
      <c r="U108" s="207" t="s">
        <v>207</v>
      </c>
      <c r="V108" s="4" t="s">
        <v>12</v>
      </c>
      <c r="X108" s="39"/>
      <c r="Y108" s="39"/>
      <c r="Z108" s="39">
        <v>261</v>
      </c>
      <c r="AA108" s="39"/>
      <c r="AB108" s="39"/>
      <c r="AC108" s="39"/>
      <c r="AD108" s="39"/>
      <c r="AE108" s="39"/>
      <c r="AF108" s="39"/>
      <c r="AG108" s="32">
        <f t="shared" si="71"/>
        <v>0</v>
      </c>
      <c r="AH108" s="32">
        <f t="shared" si="72"/>
        <v>0</v>
      </c>
      <c r="AI108" s="32">
        <f t="shared" si="73"/>
        <v>261</v>
      </c>
      <c r="AJ108" s="26"/>
      <c r="AK108" s="33"/>
      <c r="AL108" s="26"/>
      <c r="AM108" s="33">
        <v>220000</v>
      </c>
      <c r="AN108" s="26"/>
      <c r="AO108" s="33">
        <v>220000</v>
      </c>
      <c r="AP108" s="67">
        <f t="shared" si="74"/>
        <v>0</v>
      </c>
      <c r="AQ108" s="34" t="str">
        <f t="shared" si="75"/>
        <v>Not Avail.</v>
      </c>
      <c r="AR108" s="67">
        <f t="shared" si="76"/>
        <v>220000</v>
      </c>
      <c r="AS108" s="34">
        <f t="shared" si="77"/>
        <v>100</v>
      </c>
      <c r="AT108" s="28">
        <f t="shared" si="78"/>
      </c>
      <c r="AU108" s="28">
        <f t="shared" si="79"/>
      </c>
      <c r="AV108" s="28">
        <f t="shared" si="80"/>
      </c>
      <c r="AW108" s="24">
        <f t="shared" si="81"/>
      </c>
      <c r="AX108" s="24">
        <f t="shared" si="82"/>
      </c>
      <c r="AY108" s="24" t="str">
        <f t="shared" si="83"/>
        <v>New</v>
      </c>
      <c r="AZ108" s="156">
        <f t="shared" si="84"/>
        <v>52272</v>
      </c>
      <c r="BA108" s="35">
        <f t="shared" si="85"/>
        <v>0.2376</v>
      </c>
      <c r="BB108" s="35">
        <f t="shared" si="86"/>
        <v>62.013600000000004</v>
      </c>
      <c r="BC108" s="36">
        <f t="shared" si="87"/>
        <v>0</v>
      </c>
      <c r="BD108" s="36">
        <f t="shared" si="88"/>
        <v>62.013600000000004</v>
      </c>
      <c r="BE108" s="36" t="str">
        <f t="shared" si="89"/>
        <v>yes</v>
      </c>
      <c r="BF108" s="37">
        <f t="shared" si="90"/>
        <v>0.2376</v>
      </c>
      <c r="BG108" s="37">
        <f t="shared" si="91"/>
      </c>
      <c r="BH108" s="36">
        <f t="shared" si="92"/>
        <v>0</v>
      </c>
      <c r="BI108" s="38">
        <f t="shared" si="93"/>
        <v>0</v>
      </c>
      <c r="BJ108" s="1" t="str">
        <f t="shared" si="94"/>
        <v>yes</v>
      </c>
      <c r="BK108" s="37">
        <f t="shared" si="56"/>
      </c>
      <c r="BL108" s="37">
        <f t="shared" si="56"/>
      </c>
      <c r="BM108" s="7">
        <f t="shared" si="95"/>
      </c>
      <c r="BN108" s="7" t="e">
        <f t="shared" si="96"/>
        <v>#VALUE!</v>
      </c>
    </row>
    <row r="109" spans="2:70" ht="18" customHeight="1">
      <c r="B109" s="4" t="s">
        <v>12</v>
      </c>
      <c r="C109" s="4" t="s">
        <v>141</v>
      </c>
      <c r="D109" s="205" t="s">
        <v>157</v>
      </c>
      <c r="E109" s="192" t="s">
        <v>137</v>
      </c>
      <c r="F109" s="79">
        <f t="shared" si="57"/>
        <v>52272</v>
      </c>
      <c r="G109" s="80">
        <f t="shared" si="58"/>
        <v>40</v>
      </c>
      <c r="H109" s="149">
        <f t="shared" si="59"/>
        <v>4</v>
      </c>
      <c r="I109" s="150">
        <f t="shared" si="60"/>
        <v>76.4478</v>
      </c>
      <c r="J109" s="83">
        <f t="shared" si="61"/>
        <v>73.15704</v>
      </c>
      <c r="K109" s="84">
        <f t="shared" si="62"/>
        <v>74.34504000000001</v>
      </c>
      <c r="L109" s="151">
        <f t="shared" si="63"/>
        <v>32.3136</v>
      </c>
      <c r="M109" s="152">
        <f t="shared" si="64"/>
        <v>33.5016</v>
      </c>
      <c r="N109" s="188">
        <f t="shared" si="65"/>
        <v>0.03676470588235303</v>
      </c>
      <c r="O109" s="153">
        <f t="shared" si="66"/>
        <v>40.84344</v>
      </c>
      <c r="P109" s="154">
        <f t="shared" si="67"/>
        <v>40.84344</v>
      </c>
      <c r="Q109" s="176">
        <f t="shared" si="68"/>
        <v>0</v>
      </c>
      <c r="R109" s="100">
        <f t="shared" si="69"/>
        <v>1.1880000000000166</v>
      </c>
      <c r="S109" s="184">
        <f t="shared" si="70"/>
        <v>0.016239038648912213</v>
      </c>
      <c r="U109" s="208" t="s">
        <v>141</v>
      </c>
      <c r="V109" s="4" t="s">
        <v>12</v>
      </c>
      <c r="X109" s="155">
        <v>128</v>
      </c>
      <c r="Y109" s="155">
        <v>136</v>
      </c>
      <c r="Z109" s="155">
        <v>141</v>
      </c>
      <c r="AA109" s="155">
        <v>164.5</v>
      </c>
      <c r="AB109" s="155"/>
      <c r="AC109" s="155">
        <v>171.9</v>
      </c>
      <c r="AD109" s="155"/>
      <c r="AE109" s="155">
        <v>171.9</v>
      </c>
      <c r="AF109" s="155"/>
      <c r="AG109" s="32">
        <f t="shared" si="71"/>
        <v>292.5</v>
      </c>
      <c r="AH109" s="32">
        <f t="shared" si="72"/>
        <v>307.9</v>
      </c>
      <c r="AI109" s="32">
        <f t="shared" si="73"/>
        <v>312.9</v>
      </c>
      <c r="AJ109" s="26"/>
      <c r="AK109" s="33">
        <v>200000</v>
      </c>
      <c r="AL109" s="26"/>
      <c r="AM109" s="33">
        <v>220000</v>
      </c>
      <c r="AN109" s="26"/>
      <c r="AO109" s="33">
        <v>220000</v>
      </c>
      <c r="AP109" s="67">
        <f t="shared" si="74"/>
        <v>200000</v>
      </c>
      <c r="AQ109" s="34">
        <f t="shared" si="75"/>
        <v>110.00000000000001</v>
      </c>
      <c r="AR109" s="67">
        <f t="shared" si="76"/>
        <v>220000</v>
      </c>
      <c r="AS109" s="34">
        <f t="shared" si="77"/>
        <v>100</v>
      </c>
      <c r="AT109" s="28">
        <f t="shared" si="78"/>
        <v>136</v>
      </c>
      <c r="AU109" s="28">
        <f t="shared" si="79"/>
        <v>171.9</v>
      </c>
      <c r="AV109" s="28">
        <f t="shared" si="80"/>
        <v>307.9</v>
      </c>
      <c r="AW109" s="24">
        <f t="shared" si="81"/>
        <v>5</v>
      </c>
      <c r="AX109" s="24">
        <f t="shared" si="82"/>
        <v>0</v>
      </c>
      <c r="AY109" s="24">
        <f t="shared" si="83"/>
        <v>5</v>
      </c>
      <c r="AZ109" s="156">
        <f t="shared" si="84"/>
        <v>52272</v>
      </c>
      <c r="BA109" s="35">
        <f t="shared" si="85"/>
        <v>0.2376</v>
      </c>
      <c r="BB109" s="35">
        <f t="shared" si="86"/>
        <v>33.5016</v>
      </c>
      <c r="BC109" s="36">
        <f t="shared" si="87"/>
        <v>40.84344</v>
      </c>
      <c r="BD109" s="36">
        <f t="shared" si="88"/>
        <v>74.34504000000001</v>
      </c>
      <c r="BE109" s="36" t="str">
        <f t="shared" si="89"/>
        <v>yes</v>
      </c>
      <c r="BF109" s="37">
        <f t="shared" si="90"/>
        <v>0.2376</v>
      </c>
      <c r="BG109" s="37">
        <f t="shared" si="91"/>
        <v>32.3136</v>
      </c>
      <c r="BH109" s="36">
        <f t="shared" si="92"/>
        <v>40.84344</v>
      </c>
      <c r="BI109" s="38">
        <f t="shared" si="93"/>
        <v>73.15704</v>
      </c>
      <c r="BJ109" s="1" t="str">
        <f t="shared" si="94"/>
        <v>yes</v>
      </c>
      <c r="BK109" s="37">
        <f t="shared" si="56"/>
        <v>1.1880000000000024</v>
      </c>
      <c r="BL109" s="37">
        <f t="shared" si="56"/>
        <v>0</v>
      </c>
      <c r="BM109" s="7">
        <f t="shared" si="95"/>
        <v>1.1880000000000166</v>
      </c>
      <c r="BN109" s="7">
        <f t="shared" si="96"/>
        <v>0</v>
      </c>
      <c r="BO109" s="7"/>
      <c r="BP109" s="7"/>
      <c r="BR109" s="7"/>
    </row>
    <row r="110" spans="2:70" ht="18" customHeight="1">
      <c r="B110" s="4" t="s">
        <v>12</v>
      </c>
      <c r="C110" s="4" t="s">
        <v>95</v>
      </c>
      <c r="D110" s="157" t="s">
        <v>157</v>
      </c>
      <c r="E110" s="158" t="s">
        <v>228</v>
      </c>
      <c r="F110" s="79">
        <f t="shared" si="57"/>
        <v>52272</v>
      </c>
      <c r="G110" s="80">
        <f t="shared" si="58"/>
        <v>40</v>
      </c>
      <c r="H110" s="149">
        <f t="shared" si="59"/>
        <v>4</v>
      </c>
      <c r="I110" s="150">
        <f t="shared" si="60"/>
        <v>76.4478</v>
      </c>
      <c r="J110" s="83">
        <f t="shared" si="61"/>
        <v>73.15704</v>
      </c>
      <c r="K110" s="84">
        <f t="shared" si="62"/>
        <v>74.34504000000001</v>
      </c>
      <c r="L110" s="151">
        <f t="shared" si="63"/>
        <v>32.3136</v>
      </c>
      <c r="M110" s="152">
        <f t="shared" si="64"/>
        <v>33.5016</v>
      </c>
      <c r="N110" s="188">
        <f t="shared" si="65"/>
        <v>0.03676470588235303</v>
      </c>
      <c r="O110" s="153">
        <f t="shared" si="66"/>
        <v>40.84344</v>
      </c>
      <c r="P110" s="154">
        <f t="shared" si="67"/>
        <v>40.84344</v>
      </c>
      <c r="Q110" s="176">
        <f t="shared" si="68"/>
        <v>0</v>
      </c>
      <c r="R110" s="100">
        <f t="shared" si="69"/>
        <v>1.1880000000000166</v>
      </c>
      <c r="S110" s="184">
        <f t="shared" si="70"/>
        <v>0.016239038648912213</v>
      </c>
      <c r="U110" s="208" t="s">
        <v>95</v>
      </c>
      <c r="V110" s="4" t="s">
        <v>12</v>
      </c>
      <c r="X110" s="155">
        <v>128</v>
      </c>
      <c r="Y110" s="155">
        <v>136</v>
      </c>
      <c r="Z110" s="155">
        <v>141</v>
      </c>
      <c r="AA110" s="155">
        <v>164.5</v>
      </c>
      <c r="AB110" s="155"/>
      <c r="AC110" s="155">
        <v>171.9</v>
      </c>
      <c r="AD110" s="155"/>
      <c r="AE110" s="155">
        <v>171.9</v>
      </c>
      <c r="AF110" s="155"/>
      <c r="AG110" s="32">
        <f t="shared" si="71"/>
        <v>292.5</v>
      </c>
      <c r="AH110" s="32">
        <f t="shared" si="72"/>
        <v>307.9</v>
      </c>
      <c r="AI110" s="32">
        <f t="shared" si="73"/>
        <v>312.9</v>
      </c>
      <c r="AJ110" s="26"/>
      <c r="AK110" s="33">
        <v>200000</v>
      </c>
      <c r="AL110" s="26"/>
      <c r="AM110" s="33">
        <v>220000</v>
      </c>
      <c r="AN110" s="26"/>
      <c r="AO110" s="33">
        <v>220000</v>
      </c>
      <c r="AP110" s="67">
        <f t="shared" si="74"/>
        <v>200000</v>
      </c>
      <c r="AQ110" s="34">
        <f t="shared" si="75"/>
        <v>110.00000000000001</v>
      </c>
      <c r="AR110" s="67">
        <f t="shared" si="76"/>
        <v>220000</v>
      </c>
      <c r="AS110" s="34">
        <f t="shared" si="77"/>
        <v>100</v>
      </c>
      <c r="AT110" s="28">
        <f t="shared" si="78"/>
        <v>136</v>
      </c>
      <c r="AU110" s="28">
        <f t="shared" si="79"/>
        <v>171.9</v>
      </c>
      <c r="AV110" s="28">
        <f t="shared" si="80"/>
        <v>307.9</v>
      </c>
      <c r="AW110" s="24">
        <f t="shared" si="81"/>
        <v>5</v>
      </c>
      <c r="AX110" s="24">
        <f t="shared" si="82"/>
        <v>0</v>
      </c>
      <c r="AY110" s="24">
        <f t="shared" si="83"/>
        <v>5</v>
      </c>
      <c r="AZ110" s="156">
        <f t="shared" si="84"/>
        <v>52272</v>
      </c>
      <c r="BA110" s="35">
        <f t="shared" si="85"/>
        <v>0.2376</v>
      </c>
      <c r="BB110" s="35">
        <f t="shared" si="86"/>
        <v>33.5016</v>
      </c>
      <c r="BC110" s="36">
        <f t="shared" si="87"/>
        <v>40.84344</v>
      </c>
      <c r="BD110" s="36">
        <f t="shared" si="88"/>
        <v>74.34504000000001</v>
      </c>
      <c r="BE110" s="36" t="str">
        <f t="shared" si="89"/>
        <v>yes</v>
      </c>
      <c r="BF110" s="37">
        <f t="shared" si="90"/>
        <v>0.2376</v>
      </c>
      <c r="BG110" s="37">
        <f t="shared" si="91"/>
        <v>32.3136</v>
      </c>
      <c r="BH110" s="36">
        <f t="shared" si="92"/>
        <v>40.84344</v>
      </c>
      <c r="BI110" s="38">
        <f t="shared" si="93"/>
        <v>73.15704</v>
      </c>
      <c r="BJ110" s="1" t="str">
        <f t="shared" si="94"/>
        <v>yes</v>
      </c>
      <c r="BK110" s="37">
        <f t="shared" si="56"/>
        <v>1.1880000000000024</v>
      </c>
      <c r="BL110" s="37">
        <f t="shared" si="56"/>
        <v>0</v>
      </c>
      <c r="BM110" s="7">
        <f t="shared" si="95"/>
        <v>1.1880000000000166</v>
      </c>
      <c r="BN110" s="7">
        <f t="shared" si="96"/>
        <v>0</v>
      </c>
      <c r="BO110" s="7"/>
      <c r="BP110" s="7"/>
      <c r="BR110" s="7"/>
    </row>
    <row r="111" spans="2:70" ht="18" customHeight="1">
      <c r="B111" s="4" t="s">
        <v>12</v>
      </c>
      <c r="C111" s="4" t="s">
        <v>95</v>
      </c>
      <c r="D111" s="157" t="s">
        <v>157</v>
      </c>
      <c r="E111" s="158" t="s">
        <v>175</v>
      </c>
      <c r="F111" s="79">
        <f t="shared" si="57"/>
        <v>52272</v>
      </c>
      <c r="G111" s="80">
        <f t="shared" si="58"/>
        <v>40</v>
      </c>
      <c r="H111" s="149">
        <f t="shared" si="59"/>
        <v>4</v>
      </c>
      <c r="I111" s="150">
        <f t="shared" si="60"/>
        <v>76.4478</v>
      </c>
      <c r="J111" s="83">
        <f t="shared" si="61"/>
        <v>71.96904</v>
      </c>
      <c r="K111" s="84">
        <f t="shared" si="62"/>
        <v>73.15704</v>
      </c>
      <c r="L111" s="151">
        <f t="shared" si="63"/>
        <v>31.125600000000002</v>
      </c>
      <c r="M111" s="152">
        <f t="shared" si="64"/>
        <v>32.3136</v>
      </c>
      <c r="N111" s="188">
        <f t="shared" si="65"/>
        <v>0.03816793893129766</v>
      </c>
      <c r="O111" s="153">
        <f t="shared" si="66"/>
        <v>40.84344</v>
      </c>
      <c r="P111" s="154">
        <f t="shared" si="67"/>
        <v>40.84344</v>
      </c>
      <c r="Q111" s="176">
        <f t="shared" si="68"/>
        <v>0</v>
      </c>
      <c r="R111" s="100">
        <f t="shared" si="69"/>
        <v>1.1879999999999882</v>
      </c>
      <c r="S111" s="184">
        <f t="shared" si="70"/>
        <v>0.016507098052162265</v>
      </c>
      <c r="U111" s="208" t="s">
        <v>95</v>
      </c>
      <c r="V111" s="4" t="s">
        <v>12</v>
      </c>
      <c r="X111" s="155">
        <v>128</v>
      </c>
      <c r="Y111" s="155">
        <v>131</v>
      </c>
      <c r="Z111" s="155">
        <v>136</v>
      </c>
      <c r="AA111" s="155">
        <v>164.5</v>
      </c>
      <c r="AB111" s="155"/>
      <c r="AC111" s="155">
        <v>171.9</v>
      </c>
      <c r="AD111" s="155"/>
      <c r="AE111" s="155">
        <v>171.9</v>
      </c>
      <c r="AF111" s="155"/>
      <c r="AG111" s="32">
        <f t="shared" si="71"/>
        <v>292.5</v>
      </c>
      <c r="AH111" s="32">
        <f t="shared" si="72"/>
        <v>302.9</v>
      </c>
      <c r="AI111" s="32">
        <f t="shared" si="73"/>
        <v>307.9</v>
      </c>
      <c r="AJ111" s="26"/>
      <c r="AK111" s="33">
        <v>200000</v>
      </c>
      <c r="AL111" s="26"/>
      <c r="AM111" s="33">
        <v>220000</v>
      </c>
      <c r="AN111" s="26"/>
      <c r="AO111" s="33">
        <v>220000</v>
      </c>
      <c r="AP111" s="67">
        <f t="shared" si="74"/>
        <v>200000</v>
      </c>
      <c r="AQ111" s="34">
        <f t="shared" si="75"/>
        <v>110.00000000000001</v>
      </c>
      <c r="AR111" s="67">
        <f t="shared" si="76"/>
        <v>220000</v>
      </c>
      <c r="AS111" s="34">
        <f t="shared" si="77"/>
        <v>100</v>
      </c>
      <c r="AT111" s="28">
        <f t="shared" si="78"/>
        <v>131</v>
      </c>
      <c r="AU111" s="28">
        <f t="shared" si="79"/>
        <v>171.9</v>
      </c>
      <c r="AV111" s="28">
        <f t="shared" si="80"/>
        <v>302.9</v>
      </c>
      <c r="AW111" s="24">
        <f t="shared" si="81"/>
        <v>5</v>
      </c>
      <c r="AX111" s="24">
        <f t="shared" si="82"/>
        <v>0</v>
      </c>
      <c r="AY111" s="24">
        <f t="shared" si="83"/>
        <v>5</v>
      </c>
      <c r="AZ111" s="156">
        <f t="shared" si="84"/>
        <v>52272</v>
      </c>
      <c r="BA111" s="35">
        <f t="shared" si="85"/>
        <v>0.2376</v>
      </c>
      <c r="BB111" s="35">
        <f t="shared" si="86"/>
        <v>32.3136</v>
      </c>
      <c r="BC111" s="36">
        <f t="shared" si="87"/>
        <v>40.84344</v>
      </c>
      <c r="BD111" s="36">
        <f t="shared" si="88"/>
        <v>73.15704</v>
      </c>
      <c r="BE111" s="36" t="str">
        <f t="shared" si="89"/>
        <v>yes</v>
      </c>
      <c r="BF111" s="37">
        <f t="shared" si="90"/>
        <v>0.2376</v>
      </c>
      <c r="BG111" s="37">
        <f t="shared" si="91"/>
        <v>31.125600000000002</v>
      </c>
      <c r="BH111" s="36">
        <f t="shared" si="92"/>
        <v>40.84344</v>
      </c>
      <c r="BI111" s="38">
        <f t="shared" si="93"/>
        <v>71.96904</v>
      </c>
      <c r="BJ111" s="1" t="str">
        <f t="shared" si="94"/>
        <v>yes</v>
      </c>
      <c r="BK111" s="37">
        <f t="shared" si="56"/>
        <v>1.1879999999999988</v>
      </c>
      <c r="BL111" s="37">
        <f t="shared" si="56"/>
        <v>0</v>
      </c>
      <c r="BM111" s="7">
        <f t="shared" si="95"/>
        <v>1.1879999999999882</v>
      </c>
      <c r="BN111" s="7">
        <f t="shared" si="96"/>
        <v>0</v>
      </c>
      <c r="BO111" s="7"/>
      <c r="BP111" s="7"/>
      <c r="BR111" s="7"/>
    </row>
    <row r="112" spans="4:70" ht="18" customHeight="1">
      <c r="D112" s="157" t="s">
        <v>157</v>
      </c>
      <c r="E112" s="158" t="s">
        <v>54</v>
      </c>
      <c r="F112" s="79">
        <f t="shared" si="57"/>
        <v>52272</v>
      </c>
      <c r="G112" s="80">
        <f t="shared" si="58"/>
        <v>40</v>
      </c>
      <c r="H112" s="149">
        <f t="shared" si="59"/>
        <v>4</v>
      </c>
      <c r="I112" s="150">
        <f>IF(AK112="","",IF($F112&gt;0,($F112/$AK112)*AG112,IF($G112&gt;0,(((43560/($G112/12))*$H112)/$AK112)*AG112,0)))</f>
        <v>0</v>
      </c>
      <c r="J112" s="83">
        <f>BI112</f>
        <v>0</v>
      </c>
      <c r="K112" s="84">
        <f>BD112</f>
        <v>64.3896</v>
      </c>
      <c r="L112" s="151">
        <f>BG112</f>
      </c>
      <c r="M112" s="152">
        <f>BB112</f>
        <v>64.3896</v>
      </c>
      <c r="N112" s="188" t="str">
        <f>IF(R112="New","New",(M112/L112)-1)</f>
        <v>New</v>
      </c>
      <c r="O112" s="153">
        <f>IF(AW112="","",BH112)</f>
      </c>
      <c r="P112" s="154">
        <f>IF(BC112="","",BC112)</f>
        <v>0</v>
      </c>
      <c r="Q112" s="176" t="str">
        <f>IF(R112="New","New",IF(AX112="","",(P112/O112)-1))</f>
        <v>New</v>
      </c>
      <c r="R112" s="100" t="str">
        <f>IF(J112="","New",IF(J112=0,"New",K112-J112))</f>
        <v>New</v>
      </c>
      <c r="S112" s="184">
        <f>IF(R112="New","",R112/J112)</f>
      </c>
      <c r="U112" s="208" t="s">
        <v>205</v>
      </c>
      <c r="V112" s="4" t="s">
        <v>12</v>
      </c>
      <c r="X112" s="155"/>
      <c r="Y112" s="155"/>
      <c r="Z112" s="155">
        <v>271</v>
      </c>
      <c r="AA112" s="155"/>
      <c r="AB112" s="155"/>
      <c r="AC112" s="155"/>
      <c r="AD112" s="155"/>
      <c r="AE112" s="155"/>
      <c r="AF112" s="155"/>
      <c r="AG112" s="32">
        <f t="shared" si="71"/>
        <v>0</v>
      </c>
      <c r="AH112" s="32">
        <f t="shared" si="72"/>
        <v>0</v>
      </c>
      <c r="AI112" s="32">
        <f t="shared" si="73"/>
        <v>271</v>
      </c>
      <c r="AJ112" s="26"/>
      <c r="AK112" s="33">
        <v>200000</v>
      </c>
      <c r="AL112" s="26"/>
      <c r="AM112" s="33">
        <v>220000</v>
      </c>
      <c r="AN112" s="26"/>
      <c r="AO112" s="33">
        <v>220000</v>
      </c>
      <c r="AP112" s="67">
        <f>AK112</f>
        <v>200000</v>
      </c>
      <c r="AQ112" s="34">
        <f>IF(AK112&gt;0,AM112/AK112*100,"Not Avail.")</f>
        <v>110.00000000000001</v>
      </c>
      <c r="AR112" s="67">
        <f>AM112</f>
        <v>220000</v>
      </c>
      <c r="AS112" s="34">
        <f>IF(AM112&gt;0,AO112/AM112*100,"Not Avail.")</f>
        <v>100</v>
      </c>
      <c r="AT112" s="28">
        <f t="shared" si="78"/>
      </c>
      <c r="AU112" s="28">
        <f t="shared" si="79"/>
      </c>
      <c r="AV112" s="28">
        <f>IF(AT112="","",SUM(AT112:AU112))</f>
      </c>
      <c r="AW112" s="24">
        <f t="shared" si="81"/>
      </c>
      <c r="AX112" s="24">
        <f t="shared" si="82"/>
      </c>
      <c r="AY112" s="24" t="str">
        <f>IF(AH112&gt;0,AI112-AV112,"New")</f>
        <v>New</v>
      </c>
      <c r="AZ112" s="156">
        <f>F112</f>
        <v>52272</v>
      </c>
      <c r="BA112" s="35">
        <f t="shared" si="85"/>
        <v>0.2376</v>
      </c>
      <c r="BB112" s="35">
        <f t="shared" si="86"/>
        <v>64.3896</v>
      </c>
      <c r="BC112" s="36">
        <f t="shared" si="87"/>
        <v>0</v>
      </c>
      <c r="BD112" s="36">
        <f>BB112+BC112</f>
        <v>64.3896</v>
      </c>
      <c r="BE112" s="36" t="str">
        <f>IF(BD112=K112,"yes","no")</f>
        <v>yes</v>
      </c>
      <c r="BF112" s="37">
        <f>IF(AM112="","",IF($F112&gt;0,($F112/AM112),IF($G112&gt;0,((((43560/($G112/12))*$H112)/$AM112)),0)))</f>
        <v>0.2376</v>
      </c>
      <c r="BG112" s="37">
        <f t="shared" si="91"/>
      </c>
      <c r="BH112" s="36">
        <f t="shared" si="92"/>
        <v>0</v>
      </c>
      <c r="BI112" s="38">
        <f>SUM(BG112:BH112)</f>
        <v>0</v>
      </c>
      <c r="BJ112" s="1" t="str">
        <f>IF(J112=BI112,"yes","no")</f>
        <v>yes</v>
      </c>
      <c r="BK112" s="37">
        <f>IF(BG112="","",IF(BG112=0,"",BB112-BG112))</f>
      </c>
      <c r="BL112" s="37">
        <f>IF(BH112="","",IF(BH112=0,"",BC112-BH112))</f>
      </c>
      <c r="BM112" s="7">
        <f>IF(BK112="","",BD112-BI112)</f>
      </c>
      <c r="BN112" s="7" t="e">
        <f>R112-BM112</f>
        <v>#VALUE!</v>
      </c>
      <c r="BO112" s="7"/>
      <c r="BP112" s="7"/>
      <c r="BR112" s="7"/>
    </row>
    <row r="113" spans="2:66" ht="18" customHeight="1">
      <c r="B113" s="4" t="s">
        <v>12</v>
      </c>
      <c r="C113" s="4" t="s">
        <v>130</v>
      </c>
      <c r="D113" s="157" t="s">
        <v>70</v>
      </c>
      <c r="E113" s="158" t="s">
        <v>127</v>
      </c>
      <c r="F113" s="79">
        <f t="shared" si="57"/>
        <v>52272</v>
      </c>
      <c r="G113" s="80">
        <f t="shared" si="58"/>
        <v>40</v>
      </c>
      <c r="H113" s="149">
        <f t="shared" si="59"/>
        <v>4</v>
      </c>
      <c r="I113" s="150">
        <f t="shared" si="60"/>
        <v>58.596911999999996</v>
      </c>
      <c r="J113" s="83">
        <f t="shared" si="61"/>
        <v>55.76472000000001</v>
      </c>
      <c r="K113" s="84">
        <f t="shared" si="62"/>
        <v>58.14072</v>
      </c>
      <c r="L113" s="151">
        <f t="shared" si="63"/>
        <v>38.253600000000006</v>
      </c>
      <c r="M113" s="152">
        <f t="shared" si="64"/>
        <v>40.6296</v>
      </c>
      <c r="N113" s="188">
        <f t="shared" si="65"/>
        <v>0.06211180124223592</v>
      </c>
      <c r="O113" s="153">
        <f t="shared" si="66"/>
        <v>17.511120000000002</v>
      </c>
      <c r="P113" s="154">
        <f t="shared" si="67"/>
        <v>17.511120000000002</v>
      </c>
      <c r="Q113" s="176">
        <f t="shared" si="68"/>
        <v>0</v>
      </c>
      <c r="R113" s="100">
        <f t="shared" si="69"/>
        <v>2.3759999999999906</v>
      </c>
      <c r="S113" s="184">
        <f t="shared" si="70"/>
        <v>0.04260758414997852</v>
      </c>
      <c r="U113" s="208" t="s">
        <v>130</v>
      </c>
      <c r="V113" s="4" t="s">
        <v>12</v>
      </c>
      <c r="X113" s="32">
        <v>158</v>
      </c>
      <c r="Y113" s="32">
        <v>161</v>
      </c>
      <c r="Z113" s="32">
        <v>171</v>
      </c>
      <c r="AA113" s="32">
        <v>66.2</v>
      </c>
      <c r="AB113" s="32"/>
      <c r="AC113" s="32">
        <v>73.7</v>
      </c>
      <c r="AD113" s="32"/>
      <c r="AE113" s="32">
        <v>73.7</v>
      </c>
      <c r="AF113" s="32"/>
      <c r="AG113" s="32">
        <f t="shared" si="71"/>
        <v>224.2</v>
      </c>
      <c r="AH113" s="32">
        <f t="shared" si="72"/>
        <v>234.7</v>
      </c>
      <c r="AI113" s="32">
        <f t="shared" si="73"/>
        <v>244.7</v>
      </c>
      <c r="AJ113" s="26"/>
      <c r="AK113" s="33">
        <v>200000</v>
      </c>
      <c r="AL113" s="26"/>
      <c r="AM113" s="33">
        <v>220000</v>
      </c>
      <c r="AN113" s="26"/>
      <c r="AO113" s="33">
        <v>220000</v>
      </c>
      <c r="AP113" s="67">
        <f t="shared" si="74"/>
        <v>200000</v>
      </c>
      <c r="AQ113" s="34">
        <f t="shared" si="75"/>
        <v>110.00000000000001</v>
      </c>
      <c r="AR113" s="67">
        <f t="shared" si="76"/>
        <v>220000</v>
      </c>
      <c r="AS113" s="34">
        <f t="shared" si="77"/>
        <v>100</v>
      </c>
      <c r="AT113" s="28">
        <f t="shared" si="78"/>
        <v>161</v>
      </c>
      <c r="AU113" s="28">
        <f t="shared" si="79"/>
        <v>73.7</v>
      </c>
      <c r="AV113" s="28">
        <f t="shared" si="80"/>
        <v>234.7</v>
      </c>
      <c r="AW113" s="24">
        <f t="shared" si="81"/>
        <v>10</v>
      </c>
      <c r="AX113" s="24">
        <f t="shared" si="82"/>
        <v>0</v>
      </c>
      <c r="AY113" s="24">
        <f t="shared" si="83"/>
        <v>10</v>
      </c>
      <c r="AZ113" s="156">
        <f t="shared" si="84"/>
        <v>52272</v>
      </c>
      <c r="BA113" s="35">
        <f t="shared" si="85"/>
        <v>0.2376</v>
      </c>
      <c r="BB113" s="35">
        <f t="shared" si="86"/>
        <v>40.6296</v>
      </c>
      <c r="BC113" s="36">
        <f t="shared" si="87"/>
        <v>17.511120000000002</v>
      </c>
      <c r="BD113" s="36">
        <f t="shared" si="88"/>
        <v>58.14072</v>
      </c>
      <c r="BE113" s="36" t="str">
        <f t="shared" si="89"/>
        <v>yes</v>
      </c>
      <c r="BF113" s="37">
        <f t="shared" si="90"/>
        <v>0.2376</v>
      </c>
      <c r="BG113" s="37">
        <f t="shared" si="91"/>
        <v>38.253600000000006</v>
      </c>
      <c r="BH113" s="36">
        <f t="shared" si="92"/>
        <v>17.511120000000002</v>
      </c>
      <c r="BI113" s="38">
        <f t="shared" si="93"/>
        <v>55.76472000000001</v>
      </c>
      <c r="BJ113" s="1" t="str">
        <f t="shared" si="94"/>
        <v>yes</v>
      </c>
      <c r="BK113" s="37">
        <f t="shared" si="56"/>
        <v>2.3759999999999977</v>
      </c>
      <c r="BL113" s="37">
        <f t="shared" si="56"/>
        <v>0</v>
      </c>
      <c r="BM113" s="7">
        <f t="shared" si="95"/>
        <v>2.3759999999999906</v>
      </c>
      <c r="BN113" s="7">
        <f t="shared" si="96"/>
        <v>0</v>
      </c>
    </row>
    <row r="114" spans="2:66" ht="18" customHeight="1">
      <c r="B114" s="4" t="s">
        <v>12</v>
      </c>
      <c r="C114" s="4" t="s">
        <v>25</v>
      </c>
      <c r="D114" s="157" t="s">
        <v>157</v>
      </c>
      <c r="E114" s="158" t="s">
        <v>150</v>
      </c>
      <c r="F114" s="79">
        <f t="shared" si="57"/>
        <v>52272</v>
      </c>
      <c r="G114" s="80">
        <f t="shared" si="58"/>
        <v>40</v>
      </c>
      <c r="H114" s="149">
        <f t="shared" si="59"/>
        <v>4</v>
      </c>
      <c r="I114" s="150">
        <f t="shared" si="60"/>
        <v>41.29488</v>
      </c>
      <c r="J114" s="83">
        <f t="shared" si="61"/>
        <v>38.253600000000006</v>
      </c>
      <c r="K114" s="84">
        <f t="shared" si="62"/>
        <v>40.6296</v>
      </c>
      <c r="L114" s="151">
        <f t="shared" si="63"/>
        <v>38.253600000000006</v>
      </c>
      <c r="M114" s="152">
        <f t="shared" si="64"/>
        <v>40.6296</v>
      </c>
      <c r="N114" s="188">
        <f t="shared" si="65"/>
        <v>0.06211180124223592</v>
      </c>
      <c r="O114" s="153">
        <f t="shared" si="66"/>
        <v>0</v>
      </c>
      <c r="P114" s="154">
        <f t="shared" si="67"/>
        <v>0</v>
      </c>
      <c r="Q114" s="176">
        <f t="shared" si="68"/>
      </c>
      <c r="R114" s="100">
        <f t="shared" si="69"/>
        <v>2.3759999999999977</v>
      </c>
      <c r="S114" s="184">
        <f t="shared" si="70"/>
        <v>0.062111801242235955</v>
      </c>
      <c r="U114" s="208" t="s">
        <v>25</v>
      </c>
      <c r="V114" s="4" t="s">
        <v>12</v>
      </c>
      <c r="X114" s="32">
        <v>158</v>
      </c>
      <c r="Y114" s="32">
        <v>161</v>
      </c>
      <c r="Z114" s="32">
        <v>171</v>
      </c>
      <c r="AA114" s="32"/>
      <c r="AB114" s="32"/>
      <c r="AC114" s="32"/>
      <c r="AD114" s="32"/>
      <c r="AE114" s="32"/>
      <c r="AF114" s="32"/>
      <c r="AG114" s="32">
        <f t="shared" si="71"/>
        <v>158</v>
      </c>
      <c r="AH114" s="32">
        <f t="shared" si="72"/>
        <v>161</v>
      </c>
      <c r="AI114" s="32">
        <f t="shared" si="73"/>
        <v>171</v>
      </c>
      <c r="AJ114" s="26"/>
      <c r="AK114" s="33">
        <v>200000</v>
      </c>
      <c r="AL114" s="26"/>
      <c r="AM114" s="33">
        <v>220000</v>
      </c>
      <c r="AN114" s="26"/>
      <c r="AO114" s="33">
        <v>220000</v>
      </c>
      <c r="AP114" s="67">
        <f t="shared" si="74"/>
        <v>200000</v>
      </c>
      <c r="AQ114" s="34">
        <f t="shared" si="75"/>
        <v>110.00000000000001</v>
      </c>
      <c r="AR114" s="67">
        <f t="shared" si="76"/>
        <v>220000</v>
      </c>
      <c r="AS114" s="34">
        <f t="shared" si="77"/>
        <v>100</v>
      </c>
      <c r="AT114" s="28">
        <f t="shared" si="78"/>
        <v>161</v>
      </c>
      <c r="AU114" s="28">
        <f t="shared" si="79"/>
      </c>
      <c r="AV114" s="28">
        <f t="shared" si="80"/>
        <v>161</v>
      </c>
      <c r="AW114" s="24">
        <f t="shared" si="81"/>
        <v>10</v>
      </c>
      <c r="AX114" s="24">
        <f t="shared" si="82"/>
      </c>
      <c r="AY114" s="24">
        <f t="shared" si="83"/>
        <v>10</v>
      </c>
      <c r="AZ114" s="156">
        <f t="shared" si="84"/>
        <v>52272</v>
      </c>
      <c r="BA114" s="35">
        <f t="shared" si="85"/>
        <v>0.2376</v>
      </c>
      <c r="BB114" s="35">
        <f t="shared" si="86"/>
        <v>40.6296</v>
      </c>
      <c r="BC114" s="36">
        <f t="shared" si="87"/>
        <v>0</v>
      </c>
      <c r="BD114" s="36">
        <f t="shared" si="88"/>
        <v>40.6296</v>
      </c>
      <c r="BE114" s="36" t="str">
        <f t="shared" si="89"/>
        <v>yes</v>
      </c>
      <c r="BF114" s="37">
        <f t="shared" si="90"/>
        <v>0.2376</v>
      </c>
      <c r="BG114" s="37">
        <f t="shared" si="91"/>
        <v>38.253600000000006</v>
      </c>
      <c r="BH114" s="36">
        <f t="shared" si="92"/>
        <v>0</v>
      </c>
      <c r="BI114" s="38">
        <f t="shared" si="93"/>
        <v>38.253600000000006</v>
      </c>
      <c r="BJ114" s="1" t="str">
        <f t="shared" si="94"/>
        <v>yes</v>
      </c>
      <c r="BK114" s="37">
        <f t="shared" si="56"/>
        <v>2.3759999999999977</v>
      </c>
      <c r="BL114" s="37">
        <f t="shared" si="56"/>
      </c>
      <c r="BM114" s="7">
        <f t="shared" si="95"/>
        <v>2.3759999999999977</v>
      </c>
      <c r="BN114" s="7">
        <f t="shared" si="96"/>
        <v>0</v>
      </c>
    </row>
    <row r="115" spans="2:66" ht="18" customHeight="1">
      <c r="B115" s="4" t="s">
        <v>12</v>
      </c>
      <c r="C115" s="29" t="s">
        <v>94</v>
      </c>
      <c r="D115" s="159" t="s">
        <v>70</v>
      </c>
      <c r="E115" s="158" t="s">
        <v>71</v>
      </c>
      <c r="F115" s="79">
        <f t="shared" si="57"/>
        <v>52272</v>
      </c>
      <c r="G115" s="80">
        <f t="shared" si="58"/>
        <v>40</v>
      </c>
      <c r="H115" s="149">
        <f t="shared" si="59"/>
        <v>4</v>
      </c>
      <c r="I115" s="150">
        <f t="shared" si="60"/>
        <v>42.91531199999999</v>
      </c>
      <c r="J115" s="83">
        <f t="shared" si="61"/>
        <v>38.895120000000006</v>
      </c>
      <c r="K115" s="84">
        <f t="shared" si="62"/>
        <v>42.45912</v>
      </c>
      <c r="L115" s="151">
        <f t="shared" si="63"/>
        <v>21.384</v>
      </c>
      <c r="M115" s="152">
        <f t="shared" si="64"/>
        <v>24.948</v>
      </c>
      <c r="N115" s="188">
        <f t="shared" si="65"/>
        <v>0.16666666666666674</v>
      </c>
      <c r="O115" s="153">
        <f t="shared" si="66"/>
        <v>17.511120000000002</v>
      </c>
      <c r="P115" s="154">
        <f t="shared" si="67"/>
        <v>17.511120000000002</v>
      </c>
      <c r="Q115" s="176">
        <f t="shared" si="68"/>
        <v>0</v>
      </c>
      <c r="R115" s="100">
        <f t="shared" si="69"/>
        <v>3.563999999999993</v>
      </c>
      <c r="S115" s="184">
        <f t="shared" si="70"/>
        <v>0.09163103237629791</v>
      </c>
      <c r="U115" s="207" t="s">
        <v>94</v>
      </c>
      <c r="V115" s="4" t="s">
        <v>12</v>
      </c>
      <c r="X115" s="162">
        <v>98</v>
      </c>
      <c r="Y115" s="162">
        <v>90</v>
      </c>
      <c r="Z115" s="162">
        <v>105</v>
      </c>
      <c r="AA115" s="31">
        <v>66.2</v>
      </c>
      <c r="AB115" s="31"/>
      <c r="AC115" s="31">
        <v>73.7</v>
      </c>
      <c r="AD115" s="31"/>
      <c r="AE115" s="31">
        <v>73.7</v>
      </c>
      <c r="AF115" s="31"/>
      <c r="AG115" s="32">
        <f t="shared" si="71"/>
        <v>164.2</v>
      </c>
      <c r="AH115" s="32">
        <f t="shared" si="72"/>
        <v>163.7</v>
      </c>
      <c r="AI115" s="32">
        <f t="shared" si="73"/>
        <v>178.7</v>
      </c>
      <c r="AJ115" s="33"/>
      <c r="AK115" s="33">
        <v>200000</v>
      </c>
      <c r="AL115" s="33"/>
      <c r="AM115" s="33">
        <v>220000</v>
      </c>
      <c r="AN115" s="33"/>
      <c r="AO115" s="33">
        <v>220000</v>
      </c>
      <c r="AP115" s="67">
        <f t="shared" si="74"/>
        <v>200000</v>
      </c>
      <c r="AQ115" s="34">
        <f t="shared" si="75"/>
        <v>110.00000000000001</v>
      </c>
      <c r="AR115" s="67">
        <f t="shared" si="76"/>
        <v>220000</v>
      </c>
      <c r="AS115" s="34">
        <f t="shared" si="77"/>
        <v>100</v>
      </c>
      <c r="AT115" s="28">
        <f t="shared" si="78"/>
        <v>90</v>
      </c>
      <c r="AU115" s="28">
        <f t="shared" si="79"/>
        <v>73.7</v>
      </c>
      <c r="AV115" s="28">
        <f t="shared" si="80"/>
        <v>163.7</v>
      </c>
      <c r="AW115" s="24">
        <f t="shared" si="81"/>
        <v>15</v>
      </c>
      <c r="AX115" s="24">
        <f t="shared" si="82"/>
        <v>0</v>
      </c>
      <c r="AY115" s="24">
        <f t="shared" si="83"/>
        <v>15</v>
      </c>
      <c r="AZ115" s="156">
        <f t="shared" si="84"/>
        <v>52272</v>
      </c>
      <c r="BA115" s="35">
        <f t="shared" si="85"/>
        <v>0.2376</v>
      </c>
      <c r="BB115" s="35">
        <f t="shared" si="86"/>
        <v>24.948</v>
      </c>
      <c r="BC115" s="36">
        <f t="shared" si="87"/>
        <v>17.511120000000002</v>
      </c>
      <c r="BD115" s="36">
        <f t="shared" si="88"/>
        <v>42.45912</v>
      </c>
      <c r="BE115" s="36" t="str">
        <f t="shared" si="89"/>
        <v>yes</v>
      </c>
      <c r="BF115" s="37">
        <f t="shared" si="90"/>
        <v>0.2376</v>
      </c>
      <c r="BG115" s="37">
        <f t="shared" si="91"/>
        <v>21.384</v>
      </c>
      <c r="BH115" s="36">
        <f t="shared" si="92"/>
        <v>17.511120000000002</v>
      </c>
      <c r="BI115" s="38">
        <f t="shared" si="93"/>
        <v>38.895120000000006</v>
      </c>
      <c r="BJ115" s="1" t="str">
        <f t="shared" si="94"/>
        <v>yes</v>
      </c>
      <c r="BK115" s="37">
        <f t="shared" si="56"/>
        <v>3.564</v>
      </c>
      <c r="BL115" s="37">
        <f t="shared" si="56"/>
        <v>0</v>
      </c>
      <c r="BM115" s="7">
        <f t="shared" si="95"/>
        <v>3.563999999999993</v>
      </c>
      <c r="BN115" s="7">
        <f t="shared" si="96"/>
        <v>0</v>
      </c>
    </row>
    <row r="116" spans="2:66" ht="18" customHeight="1">
      <c r="B116" s="4" t="s">
        <v>12</v>
      </c>
      <c r="C116" s="4" t="s">
        <v>25</v>
      </c>
      <c r="D116" s="205" t="s">
        <v>70</v>
      </c>
      <c r="E116" s="192" t="s">
        <v>136</v>
      </c>
      <c r="F116" s="79">
        <f t="shared" si="57"/>
        <v>52272</v>
      </c>
      <c r="G116" s="80">
        <f t="shared" si="58"/>
        <v>40</v>
      </c>
      <c r="H116" s="149">
        <f t="shared" si="59"/>
        <v>4</v>
      </c>
      <c r="I116" s="150">
        <f t="shared" si="60"/>
        <v>41.29488</v>
      </c>
      <c r="J116" s="83">
        <f t="shared" si="61"/>
        <v>38.253600000000006</v>
      </c>
      <c r="K116" s="84">
        <f t="shared" si="62"/>
        <v>40.6296</v>
      </c>
      <c r="L116" s="151">
        <f t="shared" si="63"/>
        <v>38.253600000000006</v>
      </c>
      <c r="M116" s="152">
        <f t="shared" si="64"/>
        <v>40.6296</v>
      </c>
      <c r="N116" s="188">
        <f t="shared" si="65"/>
        <v>0.06211180124223592</v>
      </c>
      <c r="O116" s="153">
        <f t="shared" si="66"/>
        <v>0</v>
      </c>
      <c r="P116" s="154">
        <f t="shared" si="67"/>
        <v>0</v>
      </c>
      <c r="Q116" s="176">
        <f t="shared" si="68"/>
      </c>
      <c r="R116" s="100">
        <f t="shared" si="69"/>
        <v>2.3759999999999977</v>
      </c>
      <c r="S116" s="184">
        <f t="shared" si="70"/>
        <v>0.062111801242235955</v>
      </c>
      <c r="U116" s="208" t="s">
        <v>25</v>
      </c>
      <c r="V116" s="4" t="s">
        <v>12</v>
      </c>
      <c r="X116" s="32">
        <v>158</v>
      </c>
      <c r="Y116" s="32">
        <v>161</v>
      </c>
      <c r="Z116" s="32">
        <v>171</v>
      </c>
      <c r="AA116" s="32"/>
      <c r="AB116" s="32"/>
      <c r="AC116" s="32"/>
      <c r="AD116" s="32"/>
      <c r="AE116" s="32"/>
      <c r="AF116" s="32"/>
      <c r="AG116" s="32">
        <f t="shared" si="71"/>
        <v>158</v>
      </c>
      <c r="AH116" s="32">
        <f t="shared" si="72"/>
        <v>161</v>
      </c>
      <c r="AI116" s="32">
        <f t="shared" si="73"/>
        <v>171</v>
      </c>
      <c r="AJ116" s="26"/>
      <c r="AK116" s="33">
        <v>200000</v>
      </c>
      <c r="AL116" s="26"/>
      <c r="AM116" s="33">
        <v>220000</v>
      </c>
      <c r="AN116" s="26"/>
      <c r="AO116" s="33">
        <v>220000</v>
      </c>
      <c r="AP116" s="67">
        <f t="shared" si="74"/>
        <v>200000</v>
      </c>
      <c r="AQ116" s="34">
        <f t="shared" si="75"/>
        <v>110.00000000000001</v>
      </c>
      <c r="AR116" s="67">
        <f t="shared" si="76"/>
        <v>220000</v>
      </c>
      <c r="AS116" s="34">
        <f t="shared" si="77"/>
        <v>100</v>
      </c>
      <c r="AT116" s="28">
        <f t="shared" si="78"/>
        <v>161</v>
      </c>
      <c r="AU116" s="28">
        <f t="shared" si="79"/>
      </c>
      <c r="AV116" s="28">
        <f t="shared" si="80"/>
        <v>161</v>
      </c>
      <c r="AW116" s="24">
        <f t="shared" si="81"/>
        <v>10</v>
      </c>
      <c r="AX116" s="24">
        <f t="shared" si="82"/>
      </c>
      <c r="AY116" s="24">
        <f t="shared" si="83"/>
        <v>10</v>
      </c>
      <c r="AZ116" s="156">
        <f t="shared" si="84"/>
        <v>52272</v>
      </c>
      <c r="BA116" s="35">
        <f t="shared" si="85"/>
        <v>0.2376</v>
      </c>
      <c r="BB116" s="35">
        <f t="shared" si="86"/>
        <v>40.6296</v>
      </c>
      <c r="BC116" s="36">
        <f t="shared" si="87"/>
        <v>0</v>
      </c>
      <c r="BD116" s="36">
        <f t="shared" si="88"/>
        <v>40.6296</v>
      </c>
      <c r="BE116" s="36" t="str">
        <f t="shared" si="89"/>
        <v>yes</v>
      </c>
      <c r="BF116" s="37">
        <f t="shared" si="90"/>
        <v>0.2376</v>
      </c>
      <c r="BG116" s="37">
        <f t="shared" si="91"/>
        <v>38.253600000000006</v>
      </c>
      <c r="BH116" s="36">
        <f t="shared" si="92"/>
        <v>0</v>
      </c>
      <c r="BI116" s="38">
        <f t="shared" si="93"/>
        <v>38.253600000000006</v>
      </c>
      <c r="BJ116" s="1" t="str">
        <f t="shared" si="94"/>
        <v>yes</v>
      </c>
      <c r="BK116" s="37">
        <f t="shared" si="56"/>
        <v>2.3759999999999977</v>
      </c>
      <c r="BL116" s="37">
        <f t="shared" si="56"/>
      </c>
      <c r="BM116" s="7">
        <f t="shared" si="95"/>
        <v>2.3759999999999977</v>
      </c>
      <c r="BN116" s="7">
        <f t="shared" si="96"/>
        <v>0</v>
      </c>
    </row>
    <row r="117" spans="2:66" ht="18" customHeight="1">
      <c r="B117" s="4" t="s">
        <v>12</v>
      </c>
      <c r="C117" s="4" t="s">
        <v>130</v>
      </c>
      <c r="D117" s="157" t="s">
        <v>70</v>
      </c>
      <c r="E117" s="158" t="s">
        <v>128</v>
      </c>
      <c r="F117" s="79">
        <f t="shared" si="57"/>
        <v>52272</v>
      </c>
      <c r="G117" s="80">
        <f t="shared" si="58"/>
        <v>40</v>
      </c>
      <c r="H117" s="149">
        <f t="shared" si="59"/>
        <v>4</v>
      </c>
      <c r="I117" s="150">
        <f t="shared" si="60"/>
        <v>58.596911999999996</v>
      </c>
      <c r="J117" s="83">
        <f t="shared" si="61"/>
        <v>55.76472000000001</v>
      </c>
      <c r="K117" s="84">
        <f t="shared" si="62"/>
        <v>58.14072</v>
      </c>
      <c r="L117" s="151">
        <f t="shared" si="63"/>
        <v>38.253600000000006</v>
      </c>
      <c r="M117" s="152">
        <f t="shared" si="64"/>
        <v>40.6296</v>
      </c>
      <c r="N117" s="188">
        <f t="shared" si="65"/>
        <v>0.06211180124223592</v>
      </c>
      <c r="O117" s="153">
        <f t="shared" si="66"/>
        <v>17.511120000000002</v>
      </c>
      <c r="P117" s="154">
        <f t="shared" si="67"/>
        <v>17.511120000000002</v>
      </c>
      <c r="Q117" s="176">
        <f t="shared" si="68"/>
        <v>0</v>
      </c>
      <c r="R117" s="100">
        <f t="shared" si="69"/>
        <v>2.3759999999999906</v>
      </c>
      <c r="S117" s="184">
        <f t="shared" si="70"/>
        <v>0.04260758414997852</v>
      </c>
      <c r="U117" s="208" t="s">
        <v>130</v>
      </c>
      <c r="V117" s="4" t="s">
        <v>12</v>
      </c>
      <c r="X117" s="32">
        <v>158</v>
      </c>
      <c r="Y117" s="32">
        <v>161</v>
      </c>
      <c r="Z117" s="32">
        <v>171</v>
      </c>
      <c r="AA117" s="32">
        <v>66.2</v>
      </c>
      <c r="AB117" s="32"/>
      <c r="AC117" s="32">
        <v>73.7</v>
      </c>
      <c r="AD117" s="32"/>
      <c r="AE117" s="32">
        <v>73.7</v>
      </c>
      <c r="AF117" s="32"/>
      <c r="AG117" s="32">
        <f t="shared" si="71"/>
        <v>224.2</v>
      </c>
      <c r="AH117" s="32">
        <f t="shared" si="72"/>
        <v>234.7</v>
      </c>
      <c r="AI117" s="32">
        <f t="shared" si="73"/>
        <v>244.7</v>
      </c>
      <c r="AJ117" s="26"/>
      <c r="AK117" s="33">
        <v>200000</v>
      </c>
      <c r="AL117" s="26"/>
      <c r="AM117" s="33">
        <v>220000</v>
      </c>
      <c r="AN117" s="26"/>
      <c r="AO117" s="33">
        <v>220000</v>
      </c>
      <c r="AP117" s="67">
        <f t="shared" si="74"/>
        <v>200000</v>
      </c>
      <c r="AQ117" s="34">
        <f t="shared" si="75"/>
        <v>110.00000000000001</v>
      </c>
      <c r="AR117" s="67">
        <f t="shared" si="76"/>
        <v>220000</v>
      </c>
      <c r="AS117" s="34">
        <f t="shared" si="77"/>
        <v>100</v>
      </c>
      <c r="AT117" s="28">
        <f t="shared" si="78"/>
        <v>161</v>
      </c>
      <c r="AU117" s="28">
        <f t="shared" si="79"/>
        <v>73.7</v>
      </c>
      <c r="AV117" s="28">
        <f t="shared" si="80"/>
        <v>234.7</v>
      </c>
      <c r="AW117" s="24">
        <f t="shared" si="81"/>
        <v>10</v>
      </c>
      <c r="AX117" s="24">
        <f t="shared" si="82"/>
        <v>0</v>
      </c>
      <c r="AY117" s="24">
        <f t="shared" si="83"/>
        <v>10</v>
      </c>
      <c r="AZ117" s="156">
        <f t="shared" si="84"/>
        <v>52272</v>
      </c>
      <c r="BA117" s="35">
        <f t="shared" si="85"/>
        <v>0.2376</v>
      </c>
      <c r="BB117" s="35">
        <f t="shared" si="86"/>
        <v>40.6296</v>
      </c>
      <c r="BC117" s="36">
        <f t="shared" si="87"/>
        <v>17.511120000000002</v>
      </c>
      <c r="BD117" s="36">
        <f t="shared" si="88"/>
        <v>58.14072</v>
      </c>
      <c r="BE117" s="36" t="str">
        <f t="shared" si="89"/>
        <v>yes</v>
      </c>
      <c r="BF117" s="37">
        <f t="shared" si="90"/>
        <v>0.2376</v>
      </c>
      <c r="BG117" s="37">
        <f t="shared" si="91"/>
        <v>38.253600000000006</v>
      </c>
      <c r="BH117" s="36">
        <f t="shared" si="92"/>
        <v>17.511120000000002</v>
      </c>
      <c r="BI117" s="38">
        <f t="shared" si="93"/>
        <v>55.76472000000001</v>
      </c>
      <c r="BJ117" s="1" t="str">
        <f t="shared" si="94"/>
        <v>yes</v>
      </c>
      <c r="BK117" s="37">
        <f t="shared" si="56"/>
        <v>2.3759999999999977</v>
      </c>
      <c r="BL117" s="37">
        <f t="shared" si="56"/>
        <v>0</v>
      </c>
      <c r="BM117" s="7">
        <f t="shared" si="95"/>
        <v>2.3759999999999906</v>
      </c>
      <c r="BN117" s="7">
        <f t="shared" si="96"/>
        <v>0</v>
      </c>
    </row>
    <row r="118" spans="2:66" ht="18" customHeight="1">
      <c r="B118" s="4" t="s">
        <v>12</v>
      </c>
      <c r="C118" s="4" t="s">
        <v>97</v>
      </c>
      <c r="D118" s="157" t="s">
        <v>116</v>
      </c>
      <c r="E118" s="158" t="s">
        <v>18</v>
      </c>
      <c r="F118" s="79">
        <f t="shared" si="57"/>
        <v>52272</v>
      </c>
      <c r="G118" s="80">
        <f t="shared" si="58"/>
        <v>40</v>
      </c>
      <c r="H118" s="149">
        <f t="shared" si="59"/>
        <v>4</v>
      </c>
      <c r="I118" s="150">
        <f t="shared" si="60"/>
        <v>65.287728</v>
      </c>
      <c r="J118" s="83">
        <f t="shared" si="61"/>
        <v>52.681085217391306</v>
      </c>
      <c r="K118" s="84">
        <f t="shared" si="62"/>
        <v>52.681085217391306</v>
      </c>
      <c r="L118" s="151">
        <f t="shared" si="63"/>
        <v>20.454260869565218</v>
      </c>
      <c r="M118" s="152">
        <f t="shared" si="64"/>
        <v>20.454260869565218</v>
      </c>
      <c r="N118" s="188">
        <f t="shared" si="65"/>
        <v>0</v>
      </c>
      <c r="O118" s="153">
        <f t="shared" si="66"/>
        <v>32.22682434782609</v>
      </c>
      <c r="P118" s="154">
        <f t="shared" si="67"/>
        <v>32.22682434782609</v>
      </c>
      <c r="Q118" s="176">
        <f t="shared" si="68"/>
        <v>0</v>
      </c>
      <c r="R118" s="100">
        <f t="shared" si="69"/>
        <v>0</v>
      </c>
      <c r="S118" s="184">
        <f t="shared" si="70"/>
        <v>0</v>
      </c>
      <c r="U118" s="208" t="s">
        <v>97</v>
      </c>
      <c r="V118" s="4" t="s">
        <v>12</v>
      </c>
      <c r="X118" s="32">
        <v>118</v>
      </c>
      <c r="Y118" s="32">
        <v>90</v>
      </c>
      <c r="Z118" s="32">
        <v>90</v>
      </c>
      <c r="AA118" s="32">
        <v>131.8</v>
      </c>
      <c r="AB118" s="32"/>
      <c r="AC118" s="32">
        <v>141.8</v>
      </c>
      <c r="AD118" s="32"/>
      <c r="AE118" s="32">
        <v>141.8</v>
      </c>
      <c r="AF118" s="32"/>
      <c r="AG118" s="32">
        <f t="shared" si="71"/>
        <v>249.8</v>
      </c>
      <c r="AH118" s="32">
        <f t="shared" si="72"/>
        <v>231.8</v>
      </c>
      <c r="AI118" s="32">
        <f t="shared" si="73"/>
        <v>231.8</v>
      </c>
      <c r="AJ118" s="26"/>
      <c r="AK118" s="33">
        <v>200000</v>
      </c>
      <c r="AL118" s="26"/>
      <c r="AM118" s="33">
        <v>230000</v>
      </c>
      <c r="AN118" s="26"/>
      <c r="AO118" s="33">
        <v>230000</v>
      </c>
      <c r="AP118" s="67">
        <f t="shared" si="74"/>
        <v>200000</v>
      </c>
      <c r="AQ118" s="34">
        <f t="shared" si="75"/>
        <v>114.99999999999999</v>
      </c>
      <c r="AR118" s="67">
        <f t="shared" si="76"/>
        <v>230000</v>
      </c>
      <c r="AS118" s="34">
        <f t="shared" si="77"/>
        <v>100</v>
      </c>
      <c r="AT118" s="28">
        <f t="shared" si="78"/>
        <v>90</v>
      </c>
      <c r="AU118" s="28">
        <f t="shared" si="79"/>
        <v>141.8</v>
      </c>
      <c r="AV118" s="28">
        <f t="shared" si="80"/>
        <v>231.8</v>
      </c>
      <c r="AW118" s="24">
        <f t="shared" si="81"/>
        <v>0</v>
      </c>
      <c r="AX118" s="24">
        <f t="shared" si="82"/>
        <v>0</v>
      </c>
      <c r="AY118" s="24">
        <f t="shared" si="83"/>
        <v>0</v>
      </c>
      <c r="AZ118" s="156">
        <f t="shared" si="84"/>
        <v>52272</v>
      </c>
      <c r="BA118" s="35">
        <f t="shared" si="85"/>
        <v>0.2272695652173913</v>
      </c>
      <c r="BB118" s="35">
        <f t="shared" si="86"/>
        <v>20.454260869565218</v>
      </c>
      <c r="BC118" s="36">
        <f t="shared" si="87"/>
        <v>32.22682434782609</v>
      </c>
      <c r="BD118" s="36">
        <f t="shared" si="88"/>
        <v>52.681085217391306</v>
      </c>
      <c r="BE118" s="36" t="str">
        <f t="shared" si="89"/>
        <v>yes</v>
      </c>
      <c r="BF118" s="37">
        <f t="shared" si="90"/>
        <v>0.2272695652173913</v>
      </c>
      <c r="BG118" s="37">
        <f t="shared" si="91"/>
        <v>20.454260869565218</v>
      </c>
      <c r="BH118" s="36">
        <f t="shared" si="92"/>
        <v>32.22682434782609</v>
      </c>
      <c r="BI118" s="38">
        <f t="shared" si="93"/>
        <v>52.681085217391306</v>
      </c>
      <c r="BJ118" s="1" t="str">
        <f t="shared" si="94"/>
        <v>yes</v>
      </c>
      <c r="BK118" s="37">
        <f t="shared" si="56"/>
        <v>0</v>
      </c>
      <c r="BL118" s="37">
        <f t="shared" si="56"/>
        <v>0</v>
      </c>
      <c r="BM118" s="7">
        <f t="shared" si="95"/>
        <v>0</v>
      </c>
      <c r="BN118" s="7">
        <f t="shared" si="96"/>
        <v>0</v>
      </c>
    </row>
    <row r="119" spans="2:66" ht="18" customHeight="1">
      <c r="B119" s="4" t="s">
        <v>12</v>
      </c>
      <c r="C119" s="4" t="s">
        <v>97</v>
      </c>
      <c r="D119" s="157" t="s">
        <v>116</v>
      </c>
      <c r="E119" s="158" t="s">
        <v>19</v>
      </c>
      <c r="F119" s="79">
        <f t="shared" si="57"/>
        <v>52272</v>
      </c>
      <c r="G119" s="80">
        <f t="shared" si="58"/>
        <v>40</v>
      </c>
      <c r="H119" s="149">
        <f t="shared" si="59"/>
        <v>4</v>
      </c>
      <c r="I119" s="150">
        <f t="shared" si="60"/>
        <v>65.287728</v>
      </c>
      <c r="J119" s="83">
        <f t="shared" si="61"/>
        <v>52.681085217391306</v>
      </c>
      <c r="K119" s="84">
        <f t="shared" si="62"/>
        <v>52.681085217391306</v>
      </c>
      <c r="L119" s="151">
        <f t="shared" si="63"/>
        <v>20.454260869565218</v>
      </c>
      <c r="M119" s="152">
        <f t="shared" si="64"/>
        <v>20.454260869565218</v>
      </c>
      <c r="N119" s="188">
        <f t="shared" si="65"/>
        <v>0</v>
      </c>
      <c r="O119" s="153">
        <f t="shared" si="66"/>
        <v>32.22682434782609</v>
      </c>
      <c r="P119" s="154">
        <f t="shared" si="67"/>
        <v>32.22682434782609</v>
      </c>
      <c r="Q119" s="176">
        <f t="shared" si="68"/>
        <v>0</v>
      </c>
      <c r="R119" s="100">
        <f t="shared" si="69"/>
        <v>0</v>
      </c>
      <c r="S119" s="184">
        <f t="shared" si="70"/>
        <v>0</v>
      </c>
      <c r="U119" s="208" t="s">
        <v>97</v>
      </c>
      <c r="V119" s="4" t="s">
        <v>12</v>
      </c>
      <c r="X119" s="32">
        <v>118</v>
      </c>
      <c r="Y119" s="32">
        <v>90</v>
      </c>
      <c r="Z119" s="32">
        <v>90</v>
      </c>
      <c r="AA119" s="32">
        <v>131.8</v>
      </c>
      <c r="AB119" s="32"/>
      <c r="AC119" s="32">
        <v>141.8</v>
      </c>
      <c r="AD119" s="32"/>
      <c r="AE119" s="32">
        <v>141.8</v>
      </c>
      <c r="AF119" s="32"/>
      <c r="AG119" s="32">
        <f t="shared" si="71"/>
        <v>249.8</v>
      </c>
      <c r="AH119" s="32">
        <f t="shared" si="72"/>
        <v>231.8</v>
      </c>
      <c r="AI119" s="32">
        <f t="shared" si="73"/>
        <v>231.8</v>
      </c>
      <c r="AJ119" s="26"/>
      <c r="AK119" s="33">
        <v>200000</v>
      </c>
      <c r="AL119" s="26"/>
      <c r="AM119" s="33">
        <v>230000</v>
      </c>
      <c r="AN119" s="26"/>
      <c r="AO119" s="33">
        <v>230000</v>
      </c>
      <c r="AP119" s="67">
        <f t="shared" si="74"/>
        <v>200000</v>
      </c>
      <c r="AQ119" s="34">
        <f t="shared" si="75"/>
        <v>114.99999999999999</v>
      </c>
      <c r="AR119" s="67">
        <f t="shared" si="76"/>
        <v>230000</v>
      </c>
      <c r="AS119" s="34">
        <f t="shared" si="77"/>
        <v>100</v>
      </c>
      <c r="AT119" s="28">
        <f t="shared" si="78"/>
        <v>90</v>
      </c>
      <c r="AU119" s="28">
        <f t="shared" si="79"/>
        <v>141.8</v>
      </c>
      <c r="AV119" s="28">
        <f t="shared" si="80"/>
        <v>231.8</v>
      </c>
      <c r="AW119" s="24">
        <f t="shared" si="81"/>
        <v>0</v>
      </c>
      <c r="AX119" s="24">
        <f t="shared" si="82"/>
        <v>0</v>
      </c>
      <c r="AY119" s="24">
        <f t="shared" si="83"/>
        <v>0</v>
      </c>
      <c r="AZ119" s="156">
        <f t="shared" si="84"/>
        <v>52272</v>
      </c>
      <c r="BA119" s="35">
        <f t="shared" si="85"/>
        <v>0.2272695652173913</v>
      </c>
      <c r="BB119" s="35">
        <f t="shared" si="86"/>
        <v>20.454260869565218</v>
      </c>
      <c r="BC119" s="36">
        <f t="shared" si="87"/>
        <v>32.22682434782609</v>
      </c>
      <c r="BD119" s="36">
        <f t="shared" si="88"/>
        <v>52.681085217391306</v>
      </c>
      <c r="BE119" s="36" t="str">
        <f t="shared" si="89"/>
        <v>yes</v>
      </c>
      <c r="BF119" s="37">
        <f t="shared" si="90"/>
        <v>0.2272695652173913</v>
      </c>
      <c r="BG119" s="37">
        <f t="shared" si="91"/>
        <v>20.454260869565218</v>
      </c>
      <c r="BH119" s="36">
        <f t="shared" si="92"/>
        <v>32.22682434782609</v>
      </c>
      <c r="BI119" s="38">
        <f t="shared" si="93"/>
        <v>52.681085217391306</v>
      </c>
      <c r="BJ119" s="1" t="str">
        <f t="shared" si="94"/>
        <v>yes</v>
      </c>
      <c r="BK119" s="37">
        <f t="shared" si="56"/>
        <v>0</v>
      </c>
      <c r="BL119" s="37">
        <f t="shared" si="56"/>
        <v>0</v>
      </c>
      <c r="BM119" s="7">
        <f t="shared" si="95"/>
        <v>0</v>
      </c>
      <c r="BN119" s="7">
        <f t="shared" si="96"/>
        <v>0</v>
      </c>
    </row>
    <row r="120" spans="2:66" ht="18" customHeight="1">
      <c r="B120" s="4" t="s">
        <v>12</v>
      </c>
      <c r="C120" s="4" t="s">
        <v>97</v>
      </c>
      <c r="D120" s="157" t="s">
        <v>116</v>
      </c>
      <c r="E120" s="158" t="s">
        <v>193</v>
      </c>
      <c r="F120" s="79">
        <f t="shared" si="57"/>
        <v>52272</v>
      </c>
      <c r="G120" s="80">
        <f t="shared" si="58"/>
        <v>40</v>
      </c>
      <c r="H120" s="149">
        <f t="shared" si="59"/>
        <v>4</v>
      </c>
      <c r="I120" s="150">
        <f t="shared" si="60"/>
        <v>56.77193739130435</v>
      </c>
      <c r="J120" s="83">
        <f t="shared" si="61"/>
        <v>52.681085217391306</v>
      </c>
      <c r="K120" s="84">
        <f t="shared" si="62"/>
        <v>52.681085217391306</v>
      </c>
      <c r="L120" s="151">
        <f t="shared" si="63"/>
        <v>20.454260869565218</v>
      </c>
      <c r="M120" s="152">
        <f t="shared" si="64"/>
        <v>20.454260869565218</v>
      </c>
      <c r="N120" s="188">
        <f t="shared" si="65"/>
        <v>0</v>
      </c>
      <c r="O120" s="153">
        <f t="shared" si="66"/>
        <v>32.22682434782609</v>
      </c>
      <c r="P120" s="154">
        <f t="shared" si="67"/>
        <v>32.22682434782609</v>
      </c>
      <c r="Q120" s="176">
        <f t="shared" si="68"/>
        <v>0</v>
      </c>
      <c r="R120" s="100">
        <f t="shared" si="69"/>
        <v>0</v>
      </c>
      <c r="S120" s="184">
        <f t="shared" si="70"/>
        <v>0</v>
      </c>
      <c r="U120" s="208" t="s">
        <v>97</v>
      </c>
      <c r="V120" s="4" t="s">
        <v>12</v>
      </c>
      <c r="X120" s="163">
        <v>118</v>
      </c>
      <c r="Y120" s="163">
        <v>90</v>
      </c>
      <c r="Z120" s="163">
        <v>90</v>
      </c>
      <c r="AA120" s="206">
        <v>131.8</v>
      </c>
      <c r="AB120" s="163"/>
      <c r="AC120" s="206">
        <v>141.8</v>
      </c>
      <c r="AD120" s="163"/>
      <c r="AE120" s="206">
        <v>141.8</v>
      </c>
      <c r="AF120" s="163"/>
      <c r="AG120" s="32">
        <f t="shared" si="71"/>
        <v>249.8</v>
      </c>
      <c r="AH120" s="32">
        <f t="shared" si="72"/>
        <v>231.8</v>
      </c>
      <c r="AI120" s="32">
        <f t="shared" si="73"/>
        <v>231.8</v>
      </c>
      <c r="AJ120" s="33"/>
      <c r="AK120" s="33">
        <v>230000</v>
      </c>
      <c r="AL120" s="33"/>
      <c r="AM120" s="33">
        <v>230000</v>
      </c>
      <c r="AN120" s="33"/>
      <c r="AO120" s="33">
        <v>230000</v>
      </c>
      <c r="AP120" s="67">
        <f t="shared" si="74"/>
        <v>230000</v>
      </c>
      <c r="AQ120" s="34">
        <f t="shared" si="75"/>
        <v>100</v>
      </c>
      <c r="AR120" s="67">
        <f t="shared" si="76"/>
        <v>230000</v>
      </c>
      <c r="AS120" s="34">
        <f t="shared" si="77"/>
        <v>100</v>
      </c>
      <c r="AT120" s="28">
        <f t="shared" si="78"/>
        <v>90</v>
      </c>
      <c r="AU120" s="28">
        <f t="shared" si="79"/>
        <v>141.8</v>
      </c>
      <c r="AV120" s="28">
        <f t="shared" si="80"/>
        <v>231.8</v>
      </c>
      <c r="AW120" s="24">
        <f t="shared" si="81"/>
        <v>0</v>
      </c>
      <c r="AX120" s="24">
        <f t="shared" si="82"/>
        <v>0</v>
      </c>
      <c r="AY120" s="24">
        <f t="shared" si="83"/>
        <v>0</v>
      </c>
      <c r="AZ120" s="156">
        <f t="shared" si="84"/>
        <v>52272</v>
      </c>
      <c r="BA120" s="35">
        <f t="shared" si="85"/>
        <v>0.2272695652173913</v>
      </c>
      <c r="BB120" s="35">
        <f t="shared" si="86"/>
        <v>20.454260869565218</v>
      </c>
      <c r="BC120" s="36">
        <f t="shared" si="87"/>
        <v>32.22682434782609</v>
      </c>
      <c r="BD120" s="36">
        <f t="shared" si="88"/>
        <v>52.681085217391306</v>
      </c>
      <c r="BE120" s="36" t="str">
        <f t="shared" si="89"/>
        <v>yes</v>
      </c>
      <c r="BF120" s="37">
        <f t="shared" si="90"/>
        <v>0.2272695652173913</v>
      </c>
      <c r="BG120" s="37">
        <f t="shared" si="91"/>
        <v>20.454260869565218</v>
      </c>
      <c r="BH120" s="36">
        <f t="shared" si="92"/>
        <v>32.22682434782609</v>
      </c>
      <c r="BI120" s="38">
        <f t="shared" si="93"/>
        <v>52.681085217391306</v>
      </c>
      <c r="BJ120" s="1" t="str">
        <f t="shared" si="94"/>
        <v>yes</v>
      </c>
      <c r="BK120" s="37">
        <f t="shared" si="56"/>
        <v>0</v>
      </c>
      <c r="BL120" s="37">
        <f t="shared" si="56"/>
        <v>0</v>
      </c>
      <c r="BM120" s="7">
        <f t="shared" si="95"/>
        <v>0</v>
      </c>
      <c r="BN120" s="7">
        <f t="shared" si="96"/>
        <v>0</v>
      </c>
    </row>
    <row r="121" spans="4:66" ht="18" customHeight="1">
      <c r="D121" s="157" t="s">
        <v>116</v>
      </c>
      <c r="E121" s="158" t="s">
        <v>33</v>
      </c>
      <c r="F121" s="79">
        <f t="shared" si="57"/>
        <v>52272</v>
      </c>
      <c r="G121" s="80">
        <f t="shared" si="58"/>
        <v>40</v>
      </c>
      <c r="H121" s="149">
        <f t="shared" si="59"/>
        <v>4</v>
      </c>
      <c r="I121" s="150">
        <f>IF(AK121="","",IF($F121&gt;0,($F121/$AK121)*AG121,IF($G121&gt;0,(((43560/($G121/12))*$H121)/$AK121)*AG121,0)))</f>
        <v>0</v>
      </c>
      <c r="J121" s="83">
        <f>BI121</f>
        <v>0</v>
      </c>
      <c r="K121" s="84">
        <f>BD121</f>
        <v>65.40818086956523</v>
      </c>
      <c r="L121" s="151">
        <f>BG121</f>
      </c>
      <c r="M121" s="152">
        <f>BB121</f>
        <v>24.545113043478263</v>
      </c>
      <c r="N121" s="188" t="str">
        <f>IF(R121="New","New",(M121/L121)-1)</f>
        <v>New</v>
      </c>
      <c r="O121" s="153">
        <f>IF(AW121="","",BH121)</f>
      </c>
      <c r="P121" s="154">
        <f>IF(BC121="","",BC121)</f>
        <v>40.86306782608696</v>
      </c>
      <c r="Q121" s="176" t="str">
        <f>IF(R121="New","New",IF(AX121="","",(P121/O121)-1))</f>
        <v>New</v>
      </c>
      <c r="R121" s="100" t="str">
        <f>IF(J121="","New",IF(J121=0,"New",K121-J121))</f>
        <v>New</v>
      </c>
      <c r="S121" s="184">
        <f>IF(R121="New","",R121/J121)</f>
      </c>
      <c r="U121" s="208" t="s">
        <v>34</v>
      </c>
      <c r="V121" s="4" t="s">
        <v>12</v>
      </c>
      <c r="X121" s="163"/>
      <c r="Y121" s="163"/>
      <c r="Z121" s="163">
        <v>108</v>
      </c>
      <c r="AA121" s="206"/>
      <c r="AB121" s="163"/>
      <c r="AC121" s="206"/>
      <c r="AD121" s="163"/>
      <c r="AE121" s="206">
        <v>179.8</v>
      </c>
      <c r="AF121" s="163"/>
      <c r="AG121" s="32">
        <f t="shared" si="71"/>
        <v>0</v>
      </c>
      <c r="AH121" s="32">
        <f t="shared" si="72"/>
        <v>0</v>
      </c>
      <c r="AI121" s="32">
        <f t="shared" si="73"/>
        <v>287.8</v>
      </c>
      <c r="AJ121" s="33"/>
      <c r="AK121" s="33">
        <v>230000</v>
      </c>
      <c r="AL121" s="33"/>
      <c r="AM121" s="33">
        <v>230000</v>
      </c>
      <c r="AN121" s="33"/>
      <c r="AO121" s="33">
        <v>230000</v>
      </c>
      <c r="AP121" s="67">
        <f>AK121</f>
        <v>230000</v>
      </c>
      <c r="AQ121" s="34">
        <f>IF(AK121&gt;0,AM121/AK121*100,"Not Avail.")</f>
        <v>100</v>
      </c>
      <c r="AR121" s="67">
        <f>AM121</f>
        <v>230000</v>
      </c>
      <c r="AS121" s="34">
        <f>IF(AM121&gt;0,AO121/AM121*100,"Not Avail.")</f>
        <v>100</v>
      </c>
      <c r="AT121" s="28">
        <f t="shared" si="78"/>
      </c>
      <c r="AU121" s="28">
        <f t="shared" si="79"/>
      </c>
      <c r="AV121" s="28">
        <f>IF(AT121="","",SUM(AT121:AU121))</f>
      </c>
      <c r="AW121" s="24">
        <f t="shared" si="81"/>
      </c>
      <c r="AX121" s="24">
        <f t="shared" si="82"/>
      </c>
      <c r="AY121" s="24" t="str">
        <f>IF(AH121&gt;0,AI121-AV121,"New")</f>
        <v>New</v>
      </c>
      <c r="AZ121" s="156">
        <f>F121</f>
        <v>52272</v>
      </c>
      <c r="BA121" s="35">
        <f t="shared" si="85"/>
        <v>0.2272695652173913</v>
      </c>
      <c r="BB121" s="35">
        <f t="shared" si="86"/>
        <v>24.545113043478263</v>
      </c>
      <c r="BC121" s="36">
        <f t="shared" si="87"/>
        <v>40.86306782608696</v>
      </c>
      <c r="BD121" s="36">
        <f>BB121+BC121</f>
        <v>65.40818086956523</v>
      </c>
      <c r="BE121" s="36" t="str">
        <f>IF(BD121=K121,"yes","no")</f>
        <v>yes</v>
      </c>
      <c r="BF121" s="37">
        <f>IF(AM121="","",IF($F121&gt;0,($F121/AM121),IF($G121&gt;0,((((43560/($G121/12))*$H121)/$AM121)),0)))</f>
        <v>0.2272695652173913</v>
      </c>
      <c r="BG121" s="37">
        <f t="shared" si="91"/>
      </c>
      <c r="BH121" s="36">
        <f t="shared" si="92"/>
        <v>0</v>
      </c>
      <c r="BI121" s="38">
        <f>SUM(BG121:BH121)</f>
        <v>0</v>
      </c>
      <c r="BJ121" s="1" t="str">
        <f>IF(J121=BI121,"yes","no")</f>
        <v>yes</v>
      </c>
      <c r="BK121" s="37">
        <f>IF(BG121="","",IF(BG121=0,"",BB121-BG121))</f>
      </c>
      <c r="BL121" s="37">
        <f>IF(BH121="","",IF(BH121=0,"",BC121-BH121))</f>
      </c>
      <c r="BM121" s="7">
        <f>IF(BK121="","",BD121-BI121)</f>
      </c>
      <c r="BN121" s="7" t="e">
        <f>R121-BM121</f>
        <v>#VALUE!</v>
      </c>
    </row>
    <row r="122" spans="2:66" ht="18" customHeight="1">
      <c r="B122" s="4" t="s">
        <v>12</v>
      </c>
      <c r="C122" s="4" t="s">
        <v>95</v>
      </c>
      <c r="D122" s="157" t="s">
        <v>116</v>
      </c>
      <c r="E122" s="1" t="s">
        <v>21</v>
      </c>
      <c r="F122" s="79">
        <f t="shared" si="57"/>
        <v>52272</v>
      </c>
      <c r="G122" s="80">
        <f t="shared" si="58"/>
        <v>40</v>
      </c>
      <c r="H122" s="149">
        <f t="shared" si="59"/>
        <v>4</v>
      </c>
      <c r="I122" s="150">
        <f t="shared" si="60"/>
        <v>68.15814260869564</v>
      </c>
      <c r="J122" s="83">
        <f t="shared" si="61"/>
        <v>65.40818086956523</v>
      </c>
      <c r="K122" s="84">
        <f t="shared" si="62"/>
        <v>65.40818086956523</v>
      </c>
      <c r="L122" s="151">
        <f t="shared" si="63"/>
        <v>24.545113043478263</v>
      </c>
      <c r="M122" s="152">
        <f t="shared" si="64"/>
        <v>24.545113043478263</v>
      </c>
      <c r="N122" s="188">
        <f t="shared" si="65"/>
        <v>0</v>
      </c>
      <c r="O122" s="153">
        <f t="shared" si="66"/>
        <v>40.86306782608696</v>
      </c>
      <c r="P122" s="154">
        <f t="shared" si="67"/>
        <v>40.86306782608696</v>
      </c>
      <c r="Q122" s="176">
        <f t="shared" si="68"/>
        <v>0</v>
      </c>
      <c r="R122" s="100">
        <f t="shared" si="69"/>
        <v>0</v>
      </c>
      <c r="S122" s="184">
        <f t="shared" si="70"/>
        <v>0</v>
      </c>
      <c r="U122" s="208" t="s">
        <v>95</v>
      </c>
      <c r="V122" s="4" t="s">
        <v>12</v>
      </c>
      <c r="X122" s="32">
        <v>128</v>
      </c>
      <c r="Y122" s="32">
        <v>108</v>
      </c>
      <c r="Z122" s="32">
        <v>108</v>
      </c>
      <c r="AA122" s="32">
        <v>171.9</v>
      </c>
      <c r="AB122" s="32"/>
      <c r="AC122" s="32">
        <v>179.8</v>
      </c>
      <c r="AD122" s="32"/>
      <c r="AE122" s="32">
        <v>179.8</v>
      </c>
      <c r="AF122" s="32"/>
      <c r="AG122" s="32">
        <f t="shared" si="71"/>
        <v>299.9</v>
      </c>
      <c r="AH122" s="32">
        <f t="shared" si="72"/>
        <v>287.8</v>
      </c>
      <c r="AI122" s="32">
        <f t="shared" si="73"/>
        <v>287.8</v>
      </c>
      <c r="AJ122" s="26"/>
      <c r="AK122" s="33">
        <v>230000</v>
      </c>
      <c r="AL122" s="26"/>
      <c r="AM122" s="33">
        <v>230000</v>
      </c>
      <c r="AN122" s="26"/>
      <c r="AO122" s="33">
        <v>230000</v>
      </c>
      <c r="AP122" s="67">
        <f t="shared" si="74"/>
        <v>230000</v>
      </c>
      <c r="AQ122" s="34">
        <f t="shared" si="75"/>
        <v>100</v>
      </c>
      <c r="AR122" s="67">
        <f t="shared" si="76"/>
        <v>230000</v>
      </c>
      <c r="AS122" s="34">
        <f t="shared" si="77"/>
        <v>100</v>
      </c>
      <c r="AT122" s="28">
        <f t="shared" si="78"/>
        <v>108</v>
      </c>
      <c r="AU122" s="28">
        <f t="shared" si="79"/>
        <v>179.8</v>
      </c>
      <c r="AV122" s="28">
        <f t="shared" si="80"/>
        <v>287.8</v>
      </c>
      <c r="AW122" s="24">
        <f t="shared" si="81"/>
        <v>0</v>
      </c>
      <c r="AX122" s="24">
        <f t="shared" si="82"/>
        <v>0</v>
      </c>
      <c r="AY122" s="24">
        <f t="shared" si="83"/>
        <v>0</v>
      </c>
      <c r="AZ122" s="156">
        <f t="shared" si="84"/>
        <v>52272</v>
      </c>
      <c r="BA122" s="35">
        <f t="shared" si="85"/>
        <v>0.2272695652173913</v>
      </c>
      <c r="BB122" s="35">
        <f t="shared" si="86"/>
        <v>24.545113043478263</v>
      </c>
      <c r="BC122" s="36">
        <f t="shared" si="87"/>
        <v>40.86306782608696</v>
      </c>
      <c r="BD122" s="36">
        <f t="shared" si="88"/>
        <v>65.40818086956523</v>
      </c>
      <c r="BE122" s="36" t="str">
        <f t="shared" si="89"/>
        <v>yes</v>
      </c>
      <c r="BF122" s="37">
        <f t="shared" si="90"/>
        <v>0.2272695652173913</v>
      </c>
      <c r="BG122" s="37">
        <f t="shared" si="91"/>
        <v>24.545113043478263</v>
      </c>
      <c r="BH122" s="36">
        <f t="shared" si="92"/>
        <v>40.86306782608696</v>
      </c>
      <c r="BI122" s="38">
        <f t="shared" si="93"/>
        <v>65.40818086956523</v>
      </c>
      <c r="BJ122" s="1" t="str">
        <f t="shared" si="94"/>
        <v>yes</v>
      </c>
      <c r="BK122" s="37">
        <f t="shared" si="56"/>
        <v>0</v>
      </c>
      <c r="BL122" s="37">
        <f t="shared" si="56"/>
        <v>0</v>
      </c>
      <c r="BM122" s="7">
        <f t="shared" si="95"/>
        <v>0</v>
      </c>
      <c r="BN122" s="7">
        <f t="shared" si="96"/>
        <v>0</v>
      </c>
    </row>
    <row r="123" spans="2:66" ht="18" customHeight="1">
      <c r="B123" s="4" t="s">
        <v>12</v>
      </c>
      <c r="C123" s="4" t="s">
        <v>95</v>
      </c>
      <c r="D123" s="157" t="s">
        <v>116</v>
      </c>
      <c r="E123" s="1" t="s">
        <v>236</v>
      </c>
      <c r="F123" s="79">
        <f t="shared" si="57"/>
        <v>52272</v>
      </c>
      <c r="G123" s="80">
        <f t="shared" si="58"/>
        <v>40</v>
      </c>
      <c r="H123" s="149">
        <f t="shared" si="59"/>
        <v>4</v>
      </c>
      <c r="I123" s="150">
        <f t="shared" si="60"/>
        <v>68.15814260869564</v>
      </c>
      <c r="J123" s="83">
        <f t="shared" si="61"/>
        <v>65.40818086956523</v>
      </c>
      <c r="K123" s="84">
        <f t="shared" si="62"/>
        <v>65.40818086956523</v>
      </c>
      <c r="L123" s="151">
        <f t="shared" si="63"/>
        <v>24.545113043478263</v>
      </c>
      <c r="M123" s="152">
        <f t="shared" si="64"/>
        <v>24.545113043478263</v>
      </c>
      <c r="N123" s="188">
        <f t="shared" si="65"/>
        <v>0</v>
      </c>
      <c r="O123" s="153">
        <f t="shared" si="66"/>
        <v>40.86306782608696</v>
      </c>
      <c r="P123" s="154">
        <f t="shared" si="67"/>
        <v>40.86306782608696</v>
      </c>
      <c r="Q123" s="176">
        <f t="shared" si="68"/>
        <v>0</v>
      </c>
      <c r="R123" s="100">
        <f t="shared" si="69"/>
        <v>0</v>
      </c>
      <c r="S123" s="184">
        <f t="shared" si="70"/>
        <v>0</v>
      </c>
      <c r="U123" s="208" t="s">
        <v>95</v>
      </c>
      <c r="V123" s="4" t="s">
        <v>12</v>
      </c>
      <c r="X123" s="155">
        <v>128</v>
      </c>
      <c r="Y123" s="155">
        <v>108</v>
      </c>
      <c r="Z123" s="155">
        <v>108</v>
      </c>
      <c r="AA123" s="32">
        <v>171.9</v>
      </c>
      <c r="AB123" s="155"/>
      <c r="AC123" s="32">
        <v>179.8</v>
      </c>
      <c r="AD123" s="155"/>
      <c r="AE123" s="32">
        <v>179.8</v>
      </c>
      <c r="AF123" s="155"/>
      <c r="AG123" s="32">
        <f t="shared" si="71"/>
        <v>299.9</v>
      </c>
      <c r="AH123" s="32">
        <f t="shared" si="72"/>
        <v>287.8</v>
      </c>
      <c r="AI123" s="32">
        <f t="shared" si="73"/>
        <v>287.8</v>
      </c>
      <c r="AJ123" s="33"/>
      <c r="AK123" s="33">
        <v>230000</v>
      </c>
      <c r="AL123" s="33"/>
      <c r="AM123" s="33">
        <v>230000</v>
      </c>
      <c r="AN123" s="33"/>
      <c r="AO123" s="33">
        <v>230000</v>
      </c>
      <c r="AP123" s="67">
        <f t="shared" si="74"/>
        <v>230000</v>
      </c>
      <c r="AQ123" s="34">
        <f t="shared" si="75"/>
        <v>100</v>
      </c>
      <c r="AR123" s="67">
        <f t="shared" si="76"/>
        <v>230000</v>
      </c>
      <c r="AS123" s="34">
        <f t="shared" si="77"/>
        <v>100</v>
      </c>
      <c r="AT123" s="28">
        <f t="shared" si="78"/>
        <v>108</v>
      </c>
      <c r="AU123" s="28">
        <f t="shared" si="79"/>
        <v>179.8</v>
      </c>
      <c r="AV123" s="28">
        <f t="shared" si="80"/>
        <v>287.8</v>
      </c>
      <c r="AW123" s="24">
        <f t="shared" si="81"/>
        <v>0</v>
      </c>
      <c r="AX123" s="24">
        <f t="shared" si="82"/>
        <v>0</v>
      </c>
      <c r="AY123" s="24">
        <f t="shared" si="83"/>
        <v>0</v>
      </c>
      <c r="AZ123" s="156">
        <f t="shared" si="84"/>
        <v>52272</v>
      </c>
      <c r="BA123" s="35">
        <f t="shared" si="85"/>
        <v>0.2272695652173913</v>
      </c>
      <c r="BB123" s="35">
        <f t="shared" si="86"/>
        <v>24.545113043478263</v>
      </c>
      <c r="BC123" s="36">
        <f t="shared" si="87"/>
        <v>40.86306782608696</v>
      </c>
      <c r="BD123" s="36">
        <f t="shared" si="88"/>
        <v>65.40818086956523</v>
      </c>
      <c r="BE123" s="36" t="str">
        <f t="shared" si="89"/>
        <v>yes</v>
      </c>
      <c r="BF123" s="37">
        <f t="shared" si="90"/>
        <v>0.2272695652173913</v>
      </c>
      <c r="BG123" s="37">
        <f t="shared" si="91"/>
        <v>24.545113043478263</v>
      </c>
      <c r="BH123" s="36">
        <f t="shared" si="92"/>
        <v>40.86306782608696</v>
      </c>
      <c r="BI123" s="38">
        <f t="shared" si="93"/>
        <v>65.40818086956523</v>
      </c>
      <c r="BJ123" s="1" t="str">
        <f t="shared" si="94"/>
        <v>yes</v>
      </c>
      <c r="BK123" s="37">
        <f t="shared" si="56"/>
        <v>0</v>
      </c>
      <c r="BL123" s="37">
        <f t="shared" si="56"/>
        <v>0</v>
      </c>
      <c r="BM123" s="7">
        <f t="shared" si="95"/>
        <v>0</v>
      </c>
      <c r="BN123" s="7">
        <f t="shared" si="96"/>
        <v>0</v>
      </c>
    </row>
    <row r="124" spans="2:66" ht="18" customHeight="1">
      <c r="B124" s="4" t="s">
        <v>12</v>
      </c>
      <c r="C124" s="4" t="s">
        <v>95</v>
      </c>
      <c r="D124" s="157" t="s">
        <v>116</v>
      </c>
      <c r="E124" s="158" t="s">
        <v>22</v>
      </c>
      <c r="F124" s="79">
        <f t="shared" si="57"/>
        <v>52272</v>
      </c>
      <c r="G124" s="80">
        <f t="shared" si="58"/>
        <v>40</v>
      </c>
      <c r="H124" s="149">
        <f t="shared" si="59"/>
        <v>4</v>
      </c>
      <c r="I124" s="150">
        <f t="shared" si="60"/>
        <v>68.15814260869564</v>
      </c>
      <c r="J124" s="83">
        <f t="shared" si="61"/>
        <v>65.40818086956523</v>
      </c>
      <c r="K124" s="84">
        <f t="shared" si="62"/>
        <v>65.40818086956523</v>
      </c>
      <c r="L124" s="151">
        <f t="shared" si="63"/>
        <v>24.545113043478263</v>
      </c>
      <c r="M124" s="152">
        <f t="shared" si="64"/>
        <v>24.545113043478263</v>
      </c>
      <c r="N124" s="188">
        <f t="shared" si="65"/>
        <v>0</v>
      </c>
      <c r="O124" s="153">
        <f t="shared" si="66"/>
        <v>40.86306782608696</v>
      </c>
      <c r="P124" s="154">
        <f t="shared" si="67"/>
        <v>40.86306782608696</v>
      </c>
      <c r="Q124" s="176">
        <f t="shared" si="68"/>
        <v>0</v>
      </c>
      <c r="R124" s="100">
        <f t="shared" si="69"/>
        <v>0</v>
      </c>
      <c r="S124" s="184">
        <f t="shared" si="70"/>
        <v>0</v>
      </c>
      <c r="U124" s="208" t="s">
        <v>95</v>
      </c>
      <c r="V124" s="4" t="s">
        <v>12</v>
      </c>
      <c r="X124" s="32">
        <v>128</v>
      </c>
      <c r="Y124" s="32">
        <v>108</v>
      </c>
      <c r="Z124" s="32">
        <v>108</v>
      </c>
      <c r="AA124" s="32">
        <v>171.9</v>
      </c>
      <c r="AB124" s="32"/>
      <c r="AC124" s="32">
        <v>179.8</v>
      </c>
      <c r="AD124" s="32"/>
      <c r="AE124" s="32">
        <v>179.8</v>
      </c>
      <c r="AF124" s="32"/>
      <c r="AG124" s="32">
        <f t="shared" si="71"/>
        <v>299.9</v>
      </c>
      <c r="AH124" s="32">
        <f t="shared" si="72"/>
        <v>287.8</v>
      </c>
      <c r="AI124" s="32">
        <f t="shared" si="73"/>
        <v>287.8</v>
      </c>
      <c r="AJ124" s="26"/>
      <c r="AK124" s="33">
        <v>230000</v>
      </c>
      <c r="AL124" s="26"/>
      <c r="AM124" s="33">
        <v>230000</v>
      </c>
      <c r="AN124" s="26"/>
      <c r="AO124" s="33">
        <v>230000</v>
      </c>
      <c r="AP124" s="67">
        <f t="shared" si="74"/>
        <v>230000</v>
      </c>
      <c r="AQ124" s="34">
        <f t="shared" si="75"/>
        <v>100</v>
      </c>
      <c r="AR124" s="67">
        <f t="shared" si="76"/>
        <v>230000</v>
      </c>
      <c r="AS124" s="34">
        <f t="shared" si="77"/>
        <v>100</v>
      </c>
      <c r="AT124" s="28">
        <f t="shared" si="78"/>
        <v>108</v>
      </c>
      <c r="AU124" s="28">
        <f t="shared" si="79"/>
        <v>179.8</v>
      </c>
      <c r="AV124" s="28">
        <f t="shared" si="80"/>
        <v>287.8</v>
      </c>
      <c r="AW124" s="24">
        <f t="shared" si="81"/>
        <v>0</v>
      </c>
      <c r="AX124" s="24">
        <f t="shared" si="82"/>
        <v>0</v>
      </c>
      <c r="AY124" s="24">
        <f t="shared" si="83"/>
        <v>0</v>
      </c>
      <c r="AZ124" s="156">
        <f t="shared" si="84"/>
        <v>52272</v>
      </c>
      <c r="BA124" s="35">
        <f t="shared" si="85"/>
        <v>0.2272695652173913</v>
      </c>
      <c r="BB124" s="35">
        <f t="shared" si="86"/>
        <v>24.545113043478263</v>
      </c>
      <c r="BC124" s="36">
        <f t="shared" si="87"/>
        <v>40.86306782608696</v>
      </c>
      <c r="BD124" s="36">
        <f t="shared" si="88"/>
        <v>65.40818086956523</v>
      </c>
      <c r="BE124" s="36" t="str">
        <f t="shared" si="89"/>
        <v>yes</v>
      </c>
      <c r="BF124" s="37">
        <f t="shared" si="90"/>
        <v>0.2272695652173913</v>
      </c>
      <c r="BG124" s="37">
        <f t="shared" si="91"/>
        <v>24.545113043478263</v>
      </c>
      <c r="BH124" s="36">
        <f t="shared" si="92"/>
        <v>40.86306782608696</v>
      </c>
      <c r="BI124" s="38">
        <f t="shared" si="93"/>
        <v>65.40818086956523</v>
      </c>
      <c r="BJ124" s="1" t="str">
        <f t="shared" si="94"/>
        <v>yes</v>
      </c>
      <c r="BK124" s="37">
        <f t="shared" si="56"/>
        <v>0</v>
      </c>
      <c r="BL124" s="37">
        <f t="shared" si="56"/>
        <v>0</v>
      </c>
      <c r="BM124" s="7">
        <f t="shared" si="95"/>
        <v>0</v>
      </c>
      <c r="BN124" s="7">
        <f t="shared" si="96"/>
        <v>0</v>
      </c>
    </row>
    <row r="125" spans="2:66" ht="18" customHeight="1">
      <c r="B125" s="4" t="s">
        <v>12</v>
      </c>
      <c r="C125" s="4" t="s">
        <v>97</v>
      </c>
      <c r="D125" s="157" t="s">
        <v>116</v>
      </c>
      <c r="E125" s="158" t="s">
        <v>20</v>
      </c>
      <c r="F125" s="79">
        <f t="shared" si="57"/>
        <v>52272</v>
      </c>
      <c r="G125" s="80">
        <f t="shared" si="58"/>
        <v>40</v>
      </c>
      <c r="H125" s="149">
        <f t="shared" si="59"/>
        <v>4</v>
      </c>
      <c r="I125" s="150">
        <f t="shared" si="60"/>
        <v>56.77193739130435</v>
      </c>
      <c r="J125" s="83">
        <f t="shared" si="61"/>
        <v>52.681085217391306</v>
      </c>
      <c r="K125" s="84">
        <f t="shared" si="62"/>
        <v>52.681085217391306</v>
      </c>
      <c r="L125" s="151">
        <f t="shared" si="63"/>
        <v>20.454260869565218</v>
      </c>
      <c r="M125" s="152">
        <f t="shared" si="64"/>
        <v>20.454260869565218</v>
      </c>
      <c r="N125" s="188">
        <f t="shared" si="65"/>
        <v>0</v>
      </c>
      <c r="O125" s="153">
        <f t="shared" si="66"/>
        <v>32.22682434782609</v>
      </c>
      <c r="P125" s="154">
        <f t="shared" si="67"/>
        <v>32.22682434782609</v>
      </c>
      <c r="Q125" s="176">
        <f t="shared" si="68"/>
        <v>0</v>
      </c>
      <c r="R125" s="100">
        <f t="shared" si="69"/>
        <v>0</v>
      </c>
      <c r="S125" s="184">
        <f t="shared" si="70"/>
        <v>0</v>
      </c>
      <c r="U125" s="208" t="s">
        <v>97</v>
      </c>
      <c r="V125" s="4" t="s">
        <v>12</v>
      </c>
      <c r="X125" s="32">
        <v>118</v>
      </c>
      <c r="Y125" s="32">
        <v>90</v>
      </c>
      <c r="Z125" s="32">
        <v>90</v>
      </c>
      <c r="AA125" s="32">
        <v>131.8</v>
      </c>
      <c r="AB125" s="32"/>
      <c r="AC125" s="32">
        <v>141.8</v>
      </c>
      <c r="AD125" s="32"/>
      <c r="AE125" s="32">
        <v>141.8</v>
      </c>
      <c r="AF125" s="32"/>
      <c r="AG125" s="32">
        <f t="shared" si="71"/>
        <v>249.8</v>
      </c>
      <c r="AH125" s="32">
        <f t="shared" si="72"/>
        <v>231.8</v>
      </c>
      <c r="AI125" s="32">
        <f t="shared" si="73"/>
        <v>231.8</v>
      </c>
      <c r="AJ125" s="26"/>
      <c r="AK125" s="33">
        <v>230000</v>
      </c>
      <c r="AL125" s="26"/>
      <c r="AM125" s="33">
        <v>230000</v>
      </c>
      <c r="AN125" s="26"/>
      <c r="AO125" s="33">
        <v>230000</v>
      </c>
      <c r="AP125" s="67">
        <f t="shared" si="74"/>
        <v>230000</v>
      </c>
      <c r="AQ125" s="34">
        <f t="shared" si="75"/>
        <v>100</v>
      </c>
      <c r="AR125" s="67">
        <f t="shared" si="76"/>
        <v>230000</v>
      </c>
      <c r="AS125" s="34">
        <f t="shared" si="77"/>
        <v>100</v>
      </c>
      <c r="AT125" s="28">
        <f t="shared" si="78"/>
        <v>90</v>
      </c>
      <c r="AU125" s="28">
        <f t="shared" si="79"/>
        <v>141.8</v>
      </c>
      <c r="AV125" s="28">
        <f t="shared" si="80"/>
        <v>231.8</v>
      </c>
      <c r="AW125" s="24">
        <f t="shared" si="81"/>
        <v>0</v>
      </c>
      <c r="AX125" s="24">
        <f t="shared" si="82"/>
        <v>0</v>
      </c>
      <c r="AY125" s="24">
        <f t="shared" si="83"/>
        <v>0</v>
      </c>
      <c r="AZ125" s="156">
        <f t="shared" si="84"/>
        <v>52272</v>
      </c>
      <c r="BA125" s="35">
        <f t="shared" si="85"/>
        <v>0.2272695652173913</v>
      </c>
      <c r="BB125" s="35">
        <f t="shared" si="86"/>
        <v>20.454260869565218</v>
      </c>
      <c r="BC125" s="36">
        <f t="shared" si="87"/>
        <v>32.22682434782609</v>
      </c>
      <c r="BD125" s="36">
        <f t="shared" si="88"/>
        <v>52.681085217391306</v>
      </c>
      <c r="BE125" s="36" t="str">
        <f t="shared" si="89"/>
        <v>yes</v>
      </c>
      <c r="BF125" s="37">
        <f t="shared" si="90"/>
        <v>0.2272695652173913</v>
      </c>
      <c r="BG125" s="37">
        <f t="shared" si="91"/>
        <v>20.454260869565218</v>
      </c>
      <c r="BH125" s="36">
        <f t="shared" si="92"/>
        <v>32.22682434782609</v>
      </c>
      <c r="BI125" s="38">
        <f t="shared" si="93"/>
        <v>52.681085217391306</v>
      </c>
      <c r="BJ125" s="1" t="str">
        <f t="shared" si="94"/>
        <v>yes</v>
      </c>
      <c r="BK125" s="37">
        <f t="shared" si="56"/>
        <v>0</v>
      </c>
      <c r="BL125" s="37">
        <f t="shared" si="56"/>
        <v>0</v>
      </c>
      <c r="BM125" s="7">
        <f t="shared" si="95"/>
        <v>0</v>
      </c>
      <c r="BN125" s="7">
        <f t="shared" si="96"/>
        <v>0</v>
      </c>
    </row>
    <row r="126" spans="4:66" ht="18" customHeight="1">
      <c r="D126" s="157" t="s">
        <v>116</v>
      </c>
      <c r="E126" s="158" t="s">
        <v>55</v>
      </c>
      <c r="F126" s="79">
        <f t="shared" si="57"/>
        <v>52272</v>
      </c>
      <c r="G126" s="80">
        <f t="shared" si="58"/>
        <v>40</v>
      </c>
      <c r="H126" s="149">
        <f t="shared" si="59"/>
        <v>4</v>
      </c>
      <c r="I126" s="150">
        <f>IF(AK126="","",IF($F126&gt;0,($F126/$AK126)*AG126,IF($G126&gt;0,(((43560/($G126/12))*$H126)/$AK126)*AG126,0)))</f>
        <v>56.77193739130435</v>
      </c>
      <c r="J126" s="83">
        <f>BI126</f>
        <v>52.681085217391306</v>
      </c>
      <c r="K126" s="84">
        <f>BD126</f>
        <v>52.681085217391306</v>
      </c>
      <c r="L126" s="151">
        <f>BG126</f>
        <v>20.454260869565218</v>
      </c>
      <c r="M126" s="152">
        <f>BB126</f>
        <v>20.454260869565218</v>
      </c>
      <c r="N126" s="188">
        <f>IF(R126="New","New",(M126/L126)-1)</f>
        <v>0</v>
      </c>
      <c r="O126" s="153">
        <f>IF(AW126="","",BH126)</f>
        <v>32.22682434782609</v>
      </c>
      <c r="P126" s="154">
        <f>IF(BC126="","",BC126)</f>
        <v>32.22682434782609</v>
      </c>
      <c r="Q126" s="176">
        <f>IF(R126="New","New",IF(AX126="","",(P126/O126)-1))</f>
        <v>0</v>
      </c>
      <c r="R126" s="100">
        <f>IF(J126="","New",IF(J126=0,"New",K126-J126))</f>
        <v>0</v>
      </c>
      <c r="S126" s="184">
        <f>IF(R126="New","",R126/J126)</f>
        <v>0</v>
      </c>
      <c r="U126" s="208" t="s">
        <v>97</v>
      </c>
      <c r="V126" s="4" t="s">
        <v>12</v>
      </c>
      <c r="X126" s="32">
        <v>118</v>
      </c>
      <c r="Y126" s="32">
        <v>90</v>
      </c>
      <c r="Z126" s="32">
        <v>90</v>
      </c>
      <c r="AA126" s="32">
        <v>131.8</v>
      </c>
      <c r="AB126" s="32"/>
      <c r="AC126" s="32">
        <v>141.8</v>
      </c>
      <c r="AD126" s="32"/>
      <c r="AE126" s="32">
        <v>141.8</v>
      </c>
      <c r="AF126" s="32"/>
      <c r="AG126" s="32">
        <f t="shared" si="71"/>
        <v>249.8</v>
      </c>
      <c r="AH126" s="32">
        <f t="shared" si="72"/>
        <v>231.8</v>
      </c>
      <c r="AI126" s="32">
        <f t="shared" si="73"/>
        <v>231.8</v>
      </c>
      <c r="AJ126" s="26"/>
      <c r="AK126" s="33">
        <v>230000</v>
      </c>
      <c r="AL126" s="26"/>
      <c r="AM126" s="33">
        <v>230000</v>
      </c>
      <c r="AN126" s="26"/>
      <c r="AO126" s="33">
        <v>230000</v>
      </c>
      <c r="AP126" s="67">
        <f>AK126</f>
        <v>230000</v>
      </c>
      <c r="AQ126" s="34">
        <f>IF(AK126&gt;0,AM126/AK126*100,"Not Avail.")</f>
        <v>100</v>
      </c>
      <c r="AR126" s="67">
        <f>AM126</f>
        <v>230000</v>
      </c>
      <c r="AS126" s="34">
        <f>IF(AM126&gt;0,AO126/AM126*100,"Not Avail.")</f>
        <v>100</v>
      </c>
      <c r="AT126" s="28">
        <f t="shared" si="78"/>
        <v>90</v>
      </c>
      <c r="AU126" s="28">
        <f t="shared" si="79"/>
        <v>141.8</v>
      </c>
      <c r="AV126" s="28">
        <f>IF(AT126="","",SUM(AT126:AU126))</f>
        <v>231.8</v>
      </c>
      <c r="AW126" s="24">
        <f t="shared" si="81"/>
        <v>0</v>
      </c>
      <c r="AX126" s="24">
        <f t="shared" si="82"/>
        <v>0</v>
      </c>
      <c r="AY126" s="24">
        <f>IF(AH126&gt;0,AI126-AV126,"New")</f>
        <v>0</v>
      </c>
      <c r="AZ126" s="156">
        <f>F126</f>
        <v>52272</v>
      </c>
      <c r="BA126" s="35">
        <f t="shared" si="85"/>
        <v>0.2272695652173913</v>
      </c>
      <c r="BB126" s="35">
        <f t="shared" si="86"/>
        <v>20.454260869565218</v>
      </c>
      <c r="BC126" s="36">
        <f t="shared" si="87"/>
        <v>32.22682434782609</v>
      </c>
      <c r="BD126" s="36">
        <f>BB126+BC126</f>
        <v>52.681085217391306</v>
      </c>
      <c r="BE126" s="36" t="str">
        <f>IF(BD126=K126,"yes","no")</f>
        <v>yes</v>
      </c>
      <c r="BF126" s="37">
        <f>IF(AM126="","",IF($F126&gt;0,($F126/AM126),IF($G126&gt;0,((((43560/($G126/12))*$H126)/$AM126)),0)))</f>
        <v>0.2272695652173913</v>
      </c>
      <c r="BG126" s="37">
        <f t="shared" si="91"/>
        <v>20.454260869565218</v>
      </c>
      <c r="BH126" s="36">
        <f t="shared" si="92"/>
        <v>32.22682434782609</v>
      </c>
      <c r="BI126" s="38">
        <f>SUM(BG126:BH126)</f>
        <v>52.681085217391306</v>
      </c>
      <c r="BJ126" s="1" t="str">
        <f>IF(J126=BI126,"yes","no")</f>
        <v>yes</v>
      </c>
      <c r="BK126" s="37">
        <f>IF(BG126="","",IF(BG126=0,"",BB126-BG126))</f>
        <v>0</v>
      </c>
      <c r="BL126" s="37">
        <f>IF(BH126="","",IF(BH126=0,"",BC126-BH126))</f>
        <v>0</v>
      </c>
      <c r="BM126" s="7">
        <f>IF(BK126="","",BD126-BI126)</f>
        <v>0</v>
      </c>
      <c r="BN126" s="7">
        <f>R126-BM126</f>
        <v>0</v>
      </c>
    </row>
    <row r="127" spans="2:66" ht="18" customHeight="1">
      <c r="B127" s="4" t="s">
        <v>12</v>
      </c>
      <c r="C127" s="29" t="s">
        <v>97</v>
      </c>
      <c r="D127" s="157" t="s">
        <v>116</v>
      </c>
      <c r="E127" s="158" t="s">
        <v>198</v>
      </c>
      <c r="F127" s="79">
        <f t="shared" si="57"/>
        <v>52272</v>
      </c>
      <c r="G127" s="80">
        <f t="shared" si="58"/>
        <v>40</v>
      </c>
      <c r="H127" s="149">
        <f t="shared" si="59"/>
        <v>4</v>
      </c>
      <c r="I127" s="150">
        <f t="shared" si="60"/>
        <v>56.77193739130435</v>
      </c>
      <c r="J127" s="83">
        <f t="shared" si="61"/>
        <v>52.681085217391306</v>
      </c>
      <c r="K127" s="84">
        <f t="shared" si="62"/>
        <v>52.681085217391306</v>
      </c>
      <c r="L127" s="151">
        <f t="shared" si="63"/>
        <v>20.454260869565218</v>
      </c>
      <c r="M127" s="152">
        <f t="shared" si="64"/>
        <v>20.454260869565218</v>
      </c>
      <c r="N127" s="188">
        <f t="shared" si="65"/>
        <v>0</v>
      </c>
      <c r="O127" s="153">
        <f t="shared" si="66"/>
        <v>32.22682434782609</v>
      </c>
      <c r="P127" s="154">
        <f t="shared" si="67"/>
        <v>32.22682434782609</v>
      </c>
      <c r="Q127" s="176">
        <f t="shared" si="68"/>
        <v>0</v>
      </c>
      <c r="R127" s="100">
        <f t="shared" si="69"/>
        <v>0</v>
      </c>
      <c r="S127" s="184">
        <f t="shared" si="70"/>
        <v>0</v>
      </c>
      <c r="U127" s="207" t="s">
        <v>97</v>
      </c>
      <c r="V127" s="4" t="s">
        <v>12</v>
      </c>
      <c r="X127" s="163">
        <v>118</v>
      </c>
      <c r="Y127" s="163">
        <v>90</v>
      </c>
      <c r="Z127" s="163">
        <v>90</v>
      </c>
      <c r="AA127" s="32">
        <v>131.8</v>
      </c>
      <c r="AB127" s="163"/>
      <c r="AC127" s="32">
        <v>141.8</v>
      </c>
      <c r="AD127" s="163"/>
      <c r="AE127" s="32">
        <v>141.8</v>
      </c>
      <c r="AF127" s="163"/>
      <c r="AG127" s="32">
        <f t="shared" si="71"/>
        <v>249.8</v>
      </c>
      <c r="AH127" s="32">
        <f t="shared" si="72"/>
        <v>231.8</v>
      </c>
      <c r="AI127" s="32">
        <f t="shared" si="73"/>
        <v>231.8</v>
      </c>
      <c r="AJ127" s="33"/>
      <c r="AK127" s="33">
        <v>230000</v>
      </c>
      <c r="AL127" s="33"/>
      <c r="AM127" s="33">
        <v>230000</v>
      </c>
      <c r="AN127" s="33"/>
      <c r="AO127" s="33">
        <v>230000</v>
      </c>
      <c r="AP127" s="67">
        <f t="shared" si="74"/>
        <v>230000</v>
      </c>
      <c r="AQ127" s="34">
        <f t="shared" si="75"/>
        <v>100</v>
      </c>
      <c r="AR127" s="67">
        <f t="shared" si="76"/>
        <v>230000</v>
      </c>
      <c r="AS127" s="34">
        <f t="shared" si="77"/>
        <v>100</v>
      </c>
      <c r="AT127" s="28">
        <f t="shared" si="78"/>
        <v>90</v>
      </c>
      <c r="AU127" s="28">
        <f t="shared" si="79"/>
        <v>141.8</v>
      </c>
      <c r="AV127" s="28">
        <f t="shared" si="80"/>
        <v>231.8</v>
      </c>
      <c r="AW127" s="24">
        <f t="shared" si="81"/>
        <v>0</v>
      </c>
      <c r="AX127" s="24">
        <f t="shared" si="82"/>
        <v>0</v>
      </c>
      <c r="AY127" s="24">
        <f t="shared" si="83"/>
        <v>0</v>
      </c>
      <c r="AZ127" s="156">
        <f t="shared" si="84"/>
        <v>52272</v>
      </c>
      <c r="BA127" s="35">
        <f t="shared" si="85"/>
        <v>0.2272695652173913</v>
      </c>
      <c r="BB127" s="35">
        <f t="shared" si="86"/>
        <v>20.454260869565218</v>
      </c>
      <c r="BC127" s="36">
        <f t="shared" si="87"/>
        <v>32.22682434782609</v>
      </c>
      <c r="BD127" s="36">
        <f t="shared" si="88"/>
        <v>52.681085217391306</v>
      </c>
      <c r="BE127" s="36" t="str">
        <f t="shared" si="89"/>
        <v>yes</v>
      </c>
      <c r="BF127" s="37">
        <f t="shared" si="90"/>
        <v>0.2272695652173913</v>
      </c>
      <c r="BG127" s="37">
        <f t="shared" si="91"/>
        <v>20.454260869565218</v>
      </c>
      <c r="BH127" s="36">
        <f t="shared" si="92"/>
        <v>32.22682434782609</v>
      </c>
      <c r="BI127" s="38">
        <f t="shared" si="93"/>
        <v>52.681085217391306</v>
      </c>
      <c r="BJ127" s="1" t="str">
        <f t="shared" si="94"/>
        <v>yes</v>
      </c>
      <c r="BK127" s="37">
        <f t="shared" si="56"/>
        <v>0</v>
      </c>
      <c r="BL127" s="37">
        <f t="shared" si="56"/>
        <v>0</v>
      </c>
      <c r="BM127" s="7">
        <f t="shared" si="95"/>
        <v>0</v>
      </c>
      <c r="BN127" s="7">
        <f t="shared" si="96"/>
        <v>0</v>
      </c>
    </row>
    <row r="128" spans="3:66" ht="18" customHeight="1">
      <c r="C128" s="29"/>
      <c r="D128" s="157" t="s">
        <v>116</v>
      </c>
      <c r="E128" s="158" t="s">
        <v>35</v>
      </c>
      <c r="F128" s="79">
        <f t="shared" si="57"/>
        <v>52272</v>
      </c>
      <c r="G128" s="80">
        <f t="shared" si="58"/>
        <v>40</v>
      </c>
      <c r="H128" s="149">
        <f t="shared" si="59"/>
        <v>4</v>
      </c>
      <c r="I128" s="150">
        <f>IF(AK128="","",IF($F128&gt;0,($F128/$AK128)*AG128,IF($G128&gt;0,(((43560/($G128/12))*$H128)/$AK128)*AG128,0)))</f>
        <v>0</v>
      </c>
      <c r="J128" s="83">
        <f>BI128</f>
        <v>0</v>
      </c>
      <c r="K128" s="84">
        <f>BD128</f>
        <v>65.40818086956523</v>
      </c>
      <c r="L128" s="151">
        <f>BG128</f>
      </c>
      <c r="M128" s="152">
        <f>BB128</f>
        <v>24.545113043478263</v>
      </c>
      <c r="N128" s="188" t="str">
        <f>IF(R128="New","New",(M128/L128)-1)</f>
        <v>New</v>
      </c>
      <c r="O128" s="153">
        <f>IF(AW128="","",BH128)</f>
      </c>
      <c r="P128" s="154">
        <f>IF(BC128="","",BC128)</f>
        <v>40.86306782608696</v>
      </c>
      <c r="Q128" s="176" t="str">
        <f>IF(R128="New","New",IF(AX128="","",(P128/O128)-1))</f>
        <v>New</v>
      </c>
      <c r="R128" s="100" t="str">
        <f>IF(J128="","New",IF(J128=0,"New",K128-J128))</f>
        <v>New</v>
      </c>
      <c r="S128" s="184">
        <f>IF(R128="New","",R128/J128)</f>
      </c>
      <c r="U128" s="207" t="s">
        <v>34</v>
      </c>
      <c r="V128" s="4" t="s">
        <v>12</v>
      </c>
      <c r="X128" s="163"/>
      <c r="Y128" s="163"/>
      <c r="Z128" s="163">
        <v>108</v>
      </c>
      <c r="AA128" s="32"/>
      <c r="AB128" s="163"/>
      <c r="AC128" s="206"/>
      <c r="AD128" s="163"/>
      <c r="AE128" s="32">
        <v>179.8</v>
      </c>
      <c r="AF128" s="163"/>
      <c r="AG128" s="32">
        <f t="shared" si="71"/>
        <v>0</v>
      </c>
      <c r="AH128" s="32">
        <f t="shared" si="72"/>
        <v>0</v>
      </c>
      <c r="AI128" s="32">
        <f t="shared" si="73"/>
        <v>287.8</v>
      </c>
      <c r="AJ128" s="33"/>
      <c r="AK128" s="33">
        <v>230000</v>
      </c>
      <c r="AL128" s="33"/>
      <c r="AM128" s="33">
        <v>230000</v>
      </c>
      <c r="AN128" s="33"/>
      <c r="AO128" s="33">
        <v>230000</v>
      </c>
      <c r="AP128" s="67">
        <f>AK128</f>
        <v>230000</v>
      </c>
      <c r="AQ128" s="34">
        <f>IF(AK128&gt;0,AM128/AK128*100,"Not Avail.")</f>
        <v>100</v>
      </c>
      <c r="AR128" s="67">
        <f>AM128</f>
        <v>230000</v>
      </c>
      <c r="AS128" s="34">
        <f>IF(AM128&gt;0,AO128/AM128*100,"Not Avail.")</f>
        <v>100</v>
      </c>
      <c r="AT128" s="28">
        <f t="shared" si="78"/>
      </c>
      <c r="AU128" s="28">
        <f t="shared" si="79"/>
      </c>
      <c r="AV128" s="28">
        <f>IF(AT128="","",SUM(AT128:AU128))</f>
      </c>
      <c r="AW128" s="24">
        <f t="shared" si="81"/>
      </c>
      <c r="AX128" s="24">
        <f t="shared" si="82"/>
      </c>
      <c r="AY128" s="24" t="str">
        <f>IF(AH128&gt;0,AI128-AV128,"New")</f>
        <v>New</v>
      </c>
      <c r="AZ128" s="156">
        <f>F128</f>
        <v>52272</v>
      </c>
      <c r="BA128" s="35">
        <f t="shared" si="85"/>
        <v>0.2272695652173913</v>
      </c>
      <c r="BB128" s="35">
        <f t="shared" si="86"/>
        <v>24.545113043478263</v>
      </c>
      <c r="BC128" s="36">
        <f t="shared" si="87"/>
        <v>40.86306782608696</v>
      </c>
      <c r="BD128" s="36">
        <f>BB128+BC128</f>
        <v>65.40818086956523</v>
      </c>
      <c r="BE128" s="36" t="str">
        <f>IF(BD128=K128,"yes","no")</f>
        <v>yes</v>
      </c>
      <c r="BF128" s="37">
        <f>IF(AM128="","",IF($F128&gt;0,($F128/AM128),IF($G128&gt;0,((((43560/($G128/12))*$H128)/$AM128)),0)))</f>
        <v>0.2272695652173913</v>
      </c>
      <c r="BG128" s="37">
        <f t="shared" si="91"/>
      </c>
      <c r="BH128" s="36">
        <f t="shared" si="92"/>
        <v>0</v>
      </c>
      <c r="BI128" s="38">
        <f>SUM(BG128:BH128)</f>
        <v>0</v>
      </c>
      <c r="BJ128" s="1" t="str">
        <f>IF(J128=BI128,"yes","no")</f>
        <v>yes</v>
      </c>
      <c r="BK128" s="37">
        <f t="shared" si="56"/>
      </c>
      <c r="BL128" s="37">
        <f t="shared" si="56"/>
      </c>
      <c r="BM128" s="7">
        <f>IF(BK128="","",BD128-BI128)</f>
      </c>
      <c r="BN128" s="7" t="e">
        <f>R128-BM128</f>
        <v>#VALUE!</v>
      </c>
    </row>
    <row r="129" spans="3:66" ht="18" customHeight="1">
      <c r="C129" s="29"/>
      <c r="D129" s="157" t="s">
        <v>116</v>
      </c>
      <c r="E129" s="158" t="s">
        <v>36</v>
      </c>
      <c r="F129" s="79">
        <f t="shared" si="57"/>
        <v>52272</v>
      </c>
      <c r="G129" s="80">
        <f t="shared" si="58"/>
        <v>40</v>
      </c>
      <c r="H129" s="149">
        <f t="shared" si="59"/>
        <v>4</v>
      </c>
      <c r="I129" s="150">
        <f>IF(AK129="","",IF($F129&gt;0,($F129/$AK129)*AG129,IF($G129&gt;0,(((43560/($G129/12))*$H129)/$AK129)*AG129,0)))</f>
        <v>0</v>
      </c>
      <c r="J129" s="83">
        <f>BI129</f>
        <v>0</v>
      </c>
      <c r="K129" s="84">
        <f>BD129</f>
        <v>65.40818086956523</v>
      </c>
      <c r="L129" s="151">
        <f>BG129</f>
      </c>
      <c r="M129" s="152">
        <f>BB129</f>
        <v>24.545113043478263</v>
      </c>
      <c r="N129" s="188" t="str">
        <f>IF(R129="New","New",(M129/L129)-1)</f>
        <v>New</v>
      </c>
      <c r="O129" s="153">
        <f>IF(AW129="","",BH129)</f>
      </c>
      <c r="P129" s="154">
        <f>IF(BC129="","",BC129)</f>
        <v>40.86306782608696</v>
      </c>
      <c r="Q129" s="176" t="str">
        <f>IF(R129="New","New",IF(AX129="","",(P129/O129)-1))</f>
        <v>New</v>
      </c>
      <c r="R129" s="100" t="str">
        <f>IF(J129="","New",IF(J129=0,"New",K129-J129))</f>
        <v>New</v>
      </c>
      <c r="S129" s="184">
        <f>IF(R129="New","",R129/J129)</f>
      </c>
      <c r="U129" s="207" t="s">
        <v>34</v>
      </c>
      <c r="V129" s="4" t="s">
        <v>12</v>
      </c>
      <c r="X129" s="163"/>
      <c r="Y129" s="163"/>
      <c r="Z129" s="163">
        <v>108</v>
      </c>
      <c r="AA129" s="32"/>
      <c r="AB129" s="163"/>
      <c r="AC129" s="206"/>
      <c r="AD129" s="163"/>
      <c r="AE129" s="32">
        <v>179.8</v>
      </c>
      <c r="AF129" s="163"/>
      <c r="AG129" s="32">
        <f t="shared" si="71"/>
        <v>0</v>
      </c>
      <c r="AH129" s="32">
        <f t="shared" si="72"/>
        <v>0</v>
      </c>
      <c r="AI129" s="32">
        <f t="shared" si="73"/>
        <v>287.8</v>
      </c>
      <c r="AJ129" s="33"/>
      <c r="AK129" s="33">
        <v>230000</v>
      </c>
      <c r="AL129" s="33"/>
      <c r="AM129" s="33">
        <v>230000</v>
      </c>
      <c r="AN129" s="33"/>
      <c r="AO129" s="33">
        <v>230000</v>
      </c>
      <c r="AP129" s="67">
        <f>AK129</f>
        <v>230000</v>
      </c>
      <c r="AQ129" s="34">
        <f>IF(AK129&gt;0,AM129/AK129*100,"Not Avail.")</f>
        <v>100</v>
      </c>
      <c r="AR129" s="67">
        <f>AM129</f>
        <v>230000</v>
      </c>
      <c r="AS129" s="34">
        <f>IF(AM129&gt;0,AO129/AM129*100,"Not Avail.")</f>
        <v>100</v>
      </c>
      <c r="AT129" s="28">
        <f t="shared" si="78"/>
      </c>
      <c r="AU129" s="28">
        <f t="shared" si="79"/>
      </c>
      <c r="AV129" s="28">
        <f>IF(AT129="","",SUM(AT129:AU129))</f>
      </c>
      <c r="AW129" s="24">
        <f t="shared" si="81"/>
      </c>
      <c r="AX129" s="24">
        <f t="shared" si="82"/>
      </c>
      <c r="AY129" s="24" t="str">
        <f>IF(AH129&gt;0,AI129-AV129,"New")</f>
        <v>New</v>
      </c>
      <c r="AZ129" s="156">
        <f>F129</f>
        <v>52272</v>
      </c>
      <c r="BA129" s="35">
        <f t="shared" si="85"/>
        <v>0.2272695652173913</v>
      </c>
      <c r="BB129" s="35">
        <f t="shared" si="86"/>
        <v>24.545113043478263</v>
      </c>
      <c r="BC129" s="36">
        <f t="shared" si="87"/>
        <v>40.86306782608696</v>
      </c>
      <c r="BD129" s="36">
        <f>BB129+BC129</f>
        <v>65.40818086956523</v>
      </c>
      <c r="BE129" s="36" t="str">
        <f>IF(BD129=K129,"yes","no")</f>
        <v>yes</v>
      </c>
      <c r="BF129" s="37">
        <f>IF(AM129="","",IF($F129&gt;0,($F129/AM129),IF($G129&gt;0,((((43560/($G129/12))*$H129)/$AM129)),0)))</f>
        <v>0.2272695652173913</v>
      </c>
      <c r="BG129" s="37">
        <f t="shared" si="91"/>
      </c>
      <c r="BH129" s="36">
        <f t="shared" si="92"/>
        <v>0</v>
      </c>
      <c r="BI129" s="38">
        <f>SUM(BG129:BH129)</f>
        <v>0</v>
      </c>
      <c r="BJ129" s="1" t="str">
        <f>IF(J129=BI129,"yes","no")</f>
        <v>yes</v>
      </c>
      <c r="BK129" s="37">
        <f t="shared" si="56"/>
      </c>
      <c r="BL129" s="37">
        <f t="shared" si="56"/>
      </c>
      <c r="BM129" s="7">
        <f>IF(BK129="","",BD129-BI129)</f>
      </c>
      <c r="BN129" s="7" t="e">
        <f>R129-BM129</f>
        <v>#VALUE!</v>
      </c>
    </row>
    <row r="130" spans="3:66" ht="18" customHeight="1">
      <c r="C130" s="29"/>
      <c r="D130" s="157" t="s">
        <v>116</v>
      </c>
      <c r="E130" s="158" t="s">
        <v>37</v>
      </c>
      <c r="F130" s="79">
        <f t="shared" si="57"/>
        <v>52272</v>
      </c>
      <c r="G130" s="80">
        <f t="shared" si="58"/>
        <v>40</v>
      </c>
      <c r="H130" s="149">
        <f t="shared" si="59"/>
        <v>4</v>
      </c>
      <c r="I130" s="150">
        <f>IF(AK130="","",IF($F130&gt;0,($F130/$AK130)*AG130,IF($G130&gt;0,(((43560/($G130/12))*$H130)/$AK130)*AG130,0)))</f>
        <v>56.77193739130435</v>
      </c>
      <c r="J130" s="83">
        <f>BI130</f>
        <v>52.681085217391306</v>
      </c>
      <c r="K130" s="84">
        <f>BD130</f>
        <v>52.681085217391306</v>
      </c>
      <c r="L130" s="151">
        <f>BG130</f>
        <v>20.454260869565218</v>
      </c>
      <c r="M130" s="152">
        <f>BB130</f>
        <v>20.454260869565218</v>
      </c>
      <c r="N130" s="188">
        <f>IF(R130="New","New",(M130/L130)-1)</f>
        <v>0</v>
      </c>
      <c r="O130" s="153">
        <f>IF(AW130="","",BH130)</f>
        <v>32.22682434782609</v>
      </c>
      <c r="P130" s="154">
        <f>IF(BC130="","",BC130)</f>
        <v>32.22682434782609</v>
      </c>
      <c r="Q130" s="176">
        <f>IF(R130="New","New",IF(AX130="","",(P130/O130)-1))</f>
        <v>0</v>
      </c>
      <c r="R130" s="100">
        <f>IF(J130="","New",IF(J130=0,"New",K130-J130))</f>
        <v>0</v>
      </c>
      <c r="S130" s="184">
        <f>IF(R130="New","",R130/J130)</f>
        <v>0</v>
      </c>
      <c r="U130" s="207" t="s">
        <v>97</v>
      </c>
      <c r="V130" s="4" t="s">
        <v>12</v>
      </c>
      <c r="X130" s="163">
        <v>118</v>
      </c>
      <c r="Y130" s="163">
        <v>90</v>
      </c>
      <c r="Z130" s="163">
        <v>90</v>
      </c>
      <c r="AA130" s="32">
        <v>131.8</v>
      </c>
      <c r="AB130" s="163"/>
      <c r="AC130" s="32">
        <v>141.8</v>
      </c>
      <c r="AD130" s="163"/>
      <c r="AE130" s="32">
        <v>141.8</v>
      </c>
      <c r="AF130" s="163"/>
      <c r="AG130" s="32">
        <f t="shared" si="71"/>
        <v>249.8</v>
      </c>
      <c r="AH130" s="32">
        <f t="shared" si="72"/>
        <v>231.8</v>
      </c>
      <c r="AI130" s="32">
        <f t="shared" si="73"/>
        <v>231.8</v>
      </c>
      <c r="AJ130" s="33"/>
      <c r="AK130" s="33">
        <v>230000</v>
      </c>
      <c r="AL130" s="33"/>
      <c r="AM130" s="33">
        <v>230000</v>
      </c>
      <c r="AN130" s="33"/>
      <c r="AO130" s="33">
        <v>230000</v>
      </c>
      <c r="AP130" s="67">
        <f>AK130</f>
        <v>230000</v>
      </c>
      <c r="AQ130" s="34">
        <f>IF(AK130&gt;0,AM130/AK130*100,"Not Avail.")</f>
        <v>100</v>
      </c>
      <c r="AR130" s="67">
        <f>AM130</f>
        <v>230000</v>
      </c>
      <c r="AS130" s="34">
        <f>IF(AM130&gt;0,AO130/AM130*100,"Not Avail.")</f>
        <v>100</v>
      </c>
      <c r="AT130" s="28">
        <f t="shared" si="78"/>
        <v>90</v>
      </c>
      <c r="AU130" s="28">
        <f t="shared" si="79"/>
        <v>141.8</v>
      </c>
      <c r="AV130" s="28">
        <f>IF(AT130="","",SUM(AT130:AU130))</f>
        <v>231.8</v>
      </c>
      <c r="AW130" s="24">
        <f t="shared" si="81"/>
        <v>0</v>
      </c>
      <c r="AX130" s="24">
        <f t="shared" si="82"/>
        <v>0</v>
      </c>
      <c r="AY130" s="24">
        <f>IF(AH130&gt;0,AI130-AV130,"New")</f>
        <v>0</v>
      </c>
      <c r="AZ130" s="156">
        <f>F130</f>
        <v>52272</v>
      </c>
      <c r="BA130" s="35">
        <f t="shared" si="85"/>
        <v>0.2272695652173913</v>
      </c>
      <c r="BB130" s="35">
        <f t="shared" si="86"/>
        <v>20.454260869565218</v>
      </c>
      <c r="BC130" s="36">
        <f t="shared" si="87"/>
        <v>32.22682434782609</v>
      </c>
      <c r="BD130" s="36">
        <f>BB130+BC130</f>
        <v>52.681085217391306</v>
      </c>
      <c r="BE130" s="36" t="str">
        <f>IF(BD130=K130,"yes","no")</f>
        <v>yes</v>
      </c>
      <c r="BF130" s="37">
        <f>IF(AM130="","",IF($F130&gt;0,($F130/AM130),IF($G130&gt;0,((((43560/($G130/12))*$H130)/$AM130)),0)))</f>
        <v>0.2272695652173913</v>
      </c>
      <c r="BG130" s="37">
        <f t="shared" si="91"/>
        <v>20.454260869565218</v>
      </c>
      <c r="BH130" s="36">
        <f t="shared" si="92"/>
        <v>32.22682434782609</v>
      </c>
      <c r="BI130" s="38">
        <f>SUM(BG130:BH130)</f>
        <v>52.681085217391306</v>
      </c>
      <c r="BJ130" s="1" t="str">
        <f>IF(J130=BI130,"yes","no")</f>
        <v>yes</v>
      </c>
      <c r="BK130" s="37">
        <f t="shared" si="56"/>
        <v>0</v>
      </c>
      <c r="BL130" s="37">
        <f t="shared" si="56"/>
        <v>0</v>
      </c>
      <c r="BM130" s="7">
        <f>IF(BK130="","",BD130-BI130)</f>
        <v>0</v>
      </c>
      <c r="BN130" s="7">
        <f>R130-BM130</f>
        <v>0</v>
      </c>
    </row>
    <row r="131" spans="2:66" ht="18" customHeight="1">
      <c r="B131" s="4" t="s">
        <v>12</v>
      </c>
      <c r="C131" s="29" t="s">
        <v>97</v>
      </c>
      <c r="D131" s="159" t="s">
        <v>184</v>
      </c>
      <c r="E131" s="158" t="s">
        <v>114</v>
      </c>
      <c r="F131" s="79">
        <f t="shared" si="57"/>
        <v>52272</v>
      </c>
      <c r="G131" s="80">
        <f t="shared" si="58"/>
        <v>40</v>
      </c>
      <c r="H131" s="149">
        <f t="shared" si="59"/>
        <v>4</v>
      </c>
      <c r="I131" s="150">
        <f t="shared" si="60"/>
        <v>58.59009391304348</v>
      </c>
      <c r="J131" s="83">
        <f t="shared" si="61"/>
        <v>62.680946086956524</v>
      </c>
      <c r="K131" s="84">
        <f t="shared" si="62"/>
        <v>64.49910260869567</v>
      </c>
      <c r="L131" s="151">
        <f t="shared" si="63"/>
        <v>30.454121739130436</v>
      </c>
      <c r="M131" s="152">
        <f t="shared" si="64"/>
        <v>32.27227826086957</v>
      </c>
      <c r="N131" s="188">
        <f t="shared" si="65"/>
        <v>0.059701492537313605</v>
      </c>
      <c r="O131" s="153">
        <f t="shared" si="66"/>
        <v>32.22682434782609</v>
      </c>
      <c r="P131" s="154">
        <f t="shared" si="67"/>
        <v>32.22682434782609</v>
      </c>
      <c r="Q131" s="176">
        <f t="shared" si="68"/>
        <v>0</v>
      </c>
      <c r="R131" s="100">
        <f t="shared" si="69"/>
        <v>1.8181565217391409</v>
      </c>
      <c r="S131" s="184">
        <f t="shared" si="70"/>
        <v>0.029006526468455567</v>
      </c>
      <c r="U131" s="207" t="s">
        <v>97</v>
      </c>
      <c r="V131" s="4" t="s">
        <v>12</v>
      </c>
      <c r="X131" s="155">
        <v>126</v>
      </c>
      <c r="Y131" s="155">
        <v>134</v>
      </c>
      <c r="Z131" s="155">
        <v>142</v>
      </c>
      <c r="AA131" s="32">
        <v>131.8</v>
      </c>
      <c r="AB131" s="155"/>
      <c r="AC131" s="32">
        <v>141.8</v>
      </c>
      <c r="AD131" s="155"/>
      <c r="AE131" s="32">
        <v>141.8</v>
      </c>
      <c r="AF131" s="155"/>
      <c r="AG131" s="32">
        <f t="shared" si="71"/>
        <v>257.8</v>
      </c>
      <c r="AH131" s="32">
        <f t="shared" si="72"/>
        <v>275.8</v>
      </c>
      <c r="AI131" s="32">
        <f t="shared" si="73"/>
        <v>283.8</v>
      </c>
      <c r="AJ131" s="33"/>
      <c r="AK131" s="26">
        <v>230000</v>
      </c>
      <c r="AL131" s="33"/>
      <c r="AM131" s="26">
        <v>230000</v>
      </c>
      <c r="AN131" s="33"/>
      <c r="AO131" s="26">
        <v>230000</v>
      </c>
      <c r="AP131" s="67">
        <f t="shared" si="74"/>
        <v>230000</v>
      </c>
      <c r="AQ131" s="34">
        <f t="shared" si="75"/>
        <v>100</v>
      </c>
      <c r="AR131" s="67">
        <f t="shared" si="76"/>
        <v>230000</v>
      </c>
      <c r="AS131" s="34">
        <f t="shared" si="77"/>
        <v>100</v>
      </c>
      <c r="AT131" s="28">
        <f t="shared" si="78"/>
        <v>134</v>
      </c>
      <c r="AU131" s="28">
        <f t="shared" si="79"/>
        <v>141.8</v>
      </c>
      <c r="AV131" s="28">
        <f t="shared" si="80"/>
        <v>275.8</v>
      </c>
      <c r="AW131" s="24">
        <f t="shared" si="81"/>
        <v>8</v>
      </c>
      <c r="AX131" s="24">
        <f t="shared" si="82"/>
        <v>0</v>
      </c>
      <c r="AY131" s="24">
        <f t="shared" si="83"/>
        <v>8</v>
      </c>
      <c r="AZ131" s="156">
        <f t="shared" si="84"/>
        <v>52272</v>
      </c>
      <c r="BA131" s="35">
        <f t="shared" si="85"/>
        <v>0.2272695652173913</v>
      </c>
      <c r="BB131" s="35">
        <f t="shared" si="86"/>
        <v>32.27227826086957</v>
      </c>
      <c r="BC131" s="36">
        <f t="shared" si="87"/>
        <v>32.22682434782609</v>
      </c>
      <c r="BD131" s="36">
        <f t="shared" si="88"/>
        <v>64.49910260869567</v>
      </c>
      <c r="BE131" s="36" t="str">
        <f t="shared" si="89"/>
        <v>yes</v>
      </c>
      <c r="BF131" s="37">
        <f t="shared" si="90"/>
        <v>0.2272695652173913</v>
      </c>
      <c r="BG131" s="37">
        <f t="shared" si="91"/>
        <v>30.454121739130436</v>
      </c>
      <c r="BH131" s="36">
        <f t="shared" si="92"/>
        <v>32.22682434782609</v>
      </c>
      <c r="BI131" s="38">
        <f t="shared" si="93"/>
        <v>62.680946086956524</v>
      </c>
      <c r="BJ131" s="1" t="str">
        <f t="shared" si="94"/>
        <v>yes</v>
      </c>
      <c r="BK131" s="37">
        <f t="shared" si="56"/>
        <v>1.8181565217391338</v>
      </c>
      <c r="BL131" s="37">
        <f t="shared" si="56"/>
        <v>0</v>
      </c>
      <c r="BM131" s="7">
        <f t="shared" si="95"/>
        <v>1.8181565217391409</v>
      </c>
      <c r="BN131" s="7">
        <f t="shared" si="96"/>
        <v>0</v>
      </c>
    </row>
    <row r="132" spans="3:66" ht="18" customHeight="1">
      <c r="C132" s="29"/>
      <c r="D132" s="159" t="s">
        <v>184</v>
      </c>
      <c r="E132" s="158" t="s">
        <v>172</v>
      </c>
      <c r="F132" s="79">
        <f t="shared" si="57"/>
        <v>52272</v>
      </c>
      <c r="G132" s="80">
        <f t="shared" si="58"/>
        <v>40</v>
      </c>
      <c r="H132" s="149">
        <f t="shared" si="59"/>
        <v>4</v>
      </c>
      <c r="I132" s="150">
        <f t="shared" si="60"/>
        <v>0</v>
      </c>
      <c r="J132" s="83">
        <f t="shared" si="61"/>
        <v>71.77172869565217</v>
      </c>
      <c r="K132" s="84">
        <f t="shared" si="62"/>
        <v>73.58988521739131</v>
      </c>
      <c r="L132" s="151">
        <f t="shared" si="63"/>
        <v>30.454121739130436</v>
      </c>
      <c r="M132" s="152">
        <f t="shared" si="64"/>
        <v>32.27227826086957</v>
      </c>
      <c r="N132" s="188">
        <f t="shared" si="65"/>
        <v>0.059701492537313605</v>
      </c>
      <c r="O132" s="153">
        <f t="shared" si="66"/>
        <v>41.31760695652174</v>
      </c>
      <c r="P132" s="154">
        <f t="shared" si="67"/>
        <v>41.31760695652174</v>
      </c>
      <c r="Q132" s="176">
        <f t="shared" si="68"/>
        <v>0</v>
      </c>
      <c r="R132" s="100">
        <f t="shared" si="69"/>
        <v>1.8181565217391409</v>
      </c>
      <c r="S132" s="184">
        <f t="shared" si="70"/>
        <v>0.025332488917036246</v>
      </c>
      <c r="U132" s="207" t="s">
        <v>110</v>
      </c>
      <c r="V132" s="4" t="s">
        <v>12</v>
      </c>
      <c r="X132" s="155"/>
      <c r="Y132" s="155">
        <v>134</v>
      </c>
      <c r="Z132" s="155">
        <v>142</v>
      </c>
      <c r="AA132" s="32"/>
      <c r="AB132" s="155"/>
      <c r="AC132" s="155">
        <v>141.8</v>
      </c>
      <c r="AD132" s="155">
        <v>40</v>
      </c>
      <c r="AE132" s="155">
        <v>141.8</v>
      </c>
      <c r="AF132" s="155">
        <v>40</v>
      </c>
      <c r="AG132" s="32">
        <f t="shared" si="71"/>
        <v>0</v>
      </c>
      <c r="AH132" s="32">
        <f t="shared" si="72"/>
        <v>315.8</v>
      </c>
      <c r="AI132" s="32">
        <f t="shared" si="73"/>
        <v>323.8</v>
      </c>
      <c r="AJ132" s="33"/>
      <c r="AK132" s="26">
        <v>230000</v>
      </c>
      <c r="AL132" s="33"/>
      <c r="AM132" s="26">
        <v>230000</v>
      </c>
      <c r="AN132" s="33"/>
      <c r="AO132" s="26">
        <v>230000</v>
      </c>
      <c r="AP132" s="67">
        <f t="shared" si="74"/>
        <v>230000</v>
      </c>
      <c r="AQ132" s="34">
        <f t="shared" si="75"/>
        <v>100</v>
      </c>
      <c r="AR132" s="67">
        <f t="shared" si="76"/>
        <v>230000</v>
      </c>
      <c r="AS132" s="34">
        <f t="shared" si="77"/>
        <v>100</v>
      </c>
      <c r="AT132" s="28">
        <f t="shared" si="78"/>
        <v>134</v>
      </c>
      <c r="AU132" s="28">
        <f t="shared" si="79"/>
        <v>181.8</v>
      </c>
      <c r="AV132" s="28">
        <f t="shared" si="80"/>
        <v>315.8</v>
      </c>
      <c r="AW132" s="24">
        <f t="shared" si="81"/>
        <v>8</v>
      </c>
      <c r="AX132" s="24">
        <f t="shared" si="82"/>
        <v>0</v>
      </c>
      <c r="AY132" s="24">
        <f t="shared" si="83"/>
        <v>8</v>
      </c>
      <c r="AZ132" s="156">
        <f t="shared" si="84"/>
        <v>52272</v>
      </c>
      <c r="BA132" s="35">
        <f t="shared" si="85"/>
        <v>0.2272695652173913</v>
      </c>
      <c r="BB132" s="35">
        <f t="shared" si="86"/>
        <v>32.27227826086957</v>
      </c>
      <c r="BC132" s="36">
        <f t="shared" si="87"/>
        <v>41.31760695652174</v>
      </c>
      <c r="BD132" s="36">
        <f t="shared" si="88"/>
        <v>73.58988521739131</v>
      </c>
      <c r="BE132" s="36" t="str">
        <f t="shared" si="89"/>
        <v>yes</v>
      </c>
      <c r="BF132" s="37">
        <f t="shared" si="90"/>
        <v>0.2272695652173913</v>
      </c>
      <c r="BG132" s="37">
        <f t="shared" si="91"/>
        <v>30.454121739130436</v>
      </c>
      <c r="BH132" s="36">
        <f t="shared" si="92"/>
        <v>41.31760695652174</v>
      </c>
      <c r="BI132" s="38">
        <f t="shared" si="93"/>
        <v>71.77172869565217</v>
      </c>
      <c r="BJ132" s="1" t="str">
        <f t="shared" si="94"/>
        <v>yes</v>
      </c>
      <c r="BK132" s="37">
        <f t="shared" si="56"/>
        <v>1.8181565217391338</v>
      </c>
      <c r="BL132" s="37">
        <f t="shared" si="56"/>
        <v>0</v>
      </c>
      <c r="BM132" s="7">
        <f t="shared" si="95"/>
        <v>1.8181565217391409</v>
      </c>
      <c r="BN132" s="7">
        <f t="shared" si="96"/>
        <v>0</v>
      </c>
    </row>
    <row r="133" spans="2:66" ht="18" customHeight="1">
      <c r="B133" s="4" t="s">
        <v>12</v>
      </c>
      <c r="C133" s="29" t="s">
        <v>98</v>
      </c>
      <c r="D133" s="159" t="s">
        <v>184</v>
      </c>
      <c r="E133" s="158" t="s">
        <v>115</v>
      </c>
      <c r="F133" s="79">
        <f t="shared" si="57"/>
        <v>52272</v>
      </c>
      <c r="G133" s="80">
        <f t="shared" si="58"/>
        <v>40</v>
      </c>
      <c r="H133" s="149">
        <f t="shared" si="59"/>
        <v>4</v>
      </c>
      <c r="I133" s="150">
        <f t="shared" si="60"/>
        <v>67.68087652173914</v>
      </c>
      <c r="J133" s="83">
        <f t="shared" si="61"/>
        <v>71.77172869565217</v>
      </c>
      <c r="K133" s="84">
        <f t="shared" si="62"/>
        <v>73.58988521739131</v>
      </c>
      <c r="L133" s="151">
        <f t="shared" si="63"/>
        <v>30.454121739130436</v>
      </c>
      <c r="M133" s="152">
        <f t="shared" si="64"/>
        <v>32.27227826086957</v>
      </c>
      <c r="N133" s="188">
        <f t="shared" si="65"/>
        <v>0.059701492537313605</v>
      </c>
      <c r="O133" s="153">
        <f t="shared" si="66"/>
        <v>41.31760695652174</v>
      </c>
      <c r="P133" s="154">
        <f t="shared" si="67"/>
        <v>41.31760695652174</v>
      </c>
      <c r="Q133" s="176">
        <f t="shared" si="68"/>
        <v>0</v>
      </c>
      <c r="R133" s="100">
        <f t="shared" si="69"/>
        <v>1.8181565217391409</v>
      </c>
      <c r="S133" s="184">
        <f t="shared" si="70"/>
        <v>0.025332488917036246</v>
      </c>
      <c r="U133" s="207" t="s">
        <v>98</v>
      </c>
      <c r="V133" s="4" t="s">
        <v>12</v>
      </c>
      <c r="X133" s="155">
        <v>126</v>
      </c>
      <c r="Y133" s="155">
        <v>134</v>
      </c>
      <c r="Z133" s="155">
        <v>142</v>
      </c>
      <c r="AA133" s="155">
        <v>131.8</v>
      </c>
      <c r="AB133" s="155">
        <v>40</v>
      </c>
      <c r="AC133" s="155">
        <v>141.8</v>
      </c>
      <c r="AD133" s="155">
        <v>40</v>
      </c>
      <c r="AE133" s="155">
        <v>141.8</v>
      </c>
      <c r="AF133" s="155">
        <v>40</v>
      </c>
      <c r="AG133" s="32">
        <f t="shared" si="71"/>
        <v>297.8</v>
      </c>
      <c r="AH133" s="32">
        <f t="shared" si="72"/>
        <v>315.8</v>
      </c>
      <c r="AI133" s="32">
        <f t="shared" si="73"/>
        <v>323.8</v>
      </c>
      <c r="AJ133" s="33"/>
      <c r="AK133" s="26">
        <v>230000</v>
      </c>
      <c r="AL133" s="33"/>
      <c r="AM133" s="26">
        <v>230000</v>
      </c>
      <c r="AN133" s="33"/>
      <c r="AO133" s="26">
        <v>230000</v>
      </c>
      <c r="AP133" s="67">
        <f t="shared" si="74"/>
        <v>230000</v>
      </c>
      <c r="AQ133" s="34">
        <f t="shared" si="75"/>
        <v>100</v>
      </c>
      <c r="AR133" s="67">
        <f t="shared" si="76"/>
        <v>230000</v>
      </c>
      <c r="AS133" s="34">
        <f t="shared" si="77"/>
        <v>100</v>
      </c>
      <c r="AT133" s="28">
        <f t="shared" si="78"/>
        <v>134</v>
      </c>
      <c r="AU133" s="28">
        <f t="shared" si="79"/>
        <v>181.8</v>
      </c>
      <c r="AV133" s="28">
        <f t="shared" si="80"/>
        <v>315.8</v>
      </c>
      <c r="AW133" s="24">
        <f t="shared" si="81"/>
        <v>8</v>
      </c>
      <c r="AX133" s="24">
        <f t="shared" si="82"/>
        <v>0</v>
      </c>
      <c r="AY133" s="24">
        <f t="shared" si="83"/>
        <v>8</v>
      </c>
      <c r="AZ133" s="156">
        <f t="shared" si="84"/>
        <v>52272</v>
      </c>
      <c r="BA133" s="35">
        <f t="shared" si="85"/>
        <v>0.2272695652173913</v>
      </c>
      <c r="BB133" s="35">
        <f t="shared" si="86"/>
        <v>32.27227826086957</v>
      </c>
      <c r="BC133" s="36">
        <f t="shared" si="87"/>
        <v>41.31760695652174</v>
      </c>
      <c r="BD133" s="36">
        <f t="shared" si="88"/>
        <v>73.58988521739131</v>
      </c>
      <c r="BE133" s="36" t="str">
        <f t="shared" si="89"/>
        <v>yes</v>
      </c>
      <c r="BF133" s="37">
        <f t="shared" si="90"/>
        <v>0.2272695652173913</v>
      </c>
      <c r="BG133" s="37">
        <f t="shared" si="91"/>
        <v>30.454121739130436</v>
      </c>
      <c r="BH133" s="36">
        <f t="shared" si="92"/>
        <v>41.31760695652174</v>
      </c>
      <c r="BI133" s="38">
        <f t="shared" si="93"/>
        <v>71.77172869565217</v>
      </c>
      <c r="BJ133" s="1" t="str">
        <f t="shared" si="94"/>
        <v>yes</v>
      </c>
      <c r="BK133" s="37">
        <f t="shared" si="56"/>
        <v>1.8181565217391338</v>
      </c>
      <c r="BL133" s="37">
        <f t="shared" si="56"/>
        <v>0</v>
      </c>
      <c r="BM133" s="7">
        <f t="shared" si="95"/>
        <v>1.8181565217391409</v>
      </c>
      <c r="BN133" s="7">
        <f t="shared" si="96"/>
        <v>0</v>
      </c>
    </row>
    <row r="134" spans="2:66" ht="18" customHeight="1">
      <c r="B134" s="4" t="s">
        <v>12</v>
      </c>
      <c r="C134" s="29" t="s">
        <v>142</v>
      </c>
      <c r="D134" s="159" t="s">
        <v>184</v>
      </c>
      <c r="E134" s="158" t="s">
        <v>194</v>
      </c>
      <c r="F134" s="79">
        <f t="shared" si="57"/>
        <v>52272</v>
      </c>
      <c r="G134" s="80">
        <f t="shared" si="58"/>
        <v>40</v>
      </c>
      <c r="H134" s="149">
        <f t="shared" si="59"/>
        <v>4</v>
      </c>
      <c r="I134" s="150">
        <f t="shared" si="60"/>
        <v>35.45405217391304</v>
      </c>
      <c r="J134" s="83">
        <f t="shared" si="61"/>
        <v>37.272208695652175</v>
      </c>
      <c r="K134" s="84">
        <f t="shared" si="62"/>
        <v>41.363060869565224</v>
      </c>
      <c r="L134" s="151">
        <f t="shared" si="63"/>
        <v>28.181426086956524</v>
      </c>
      <c r="M134" s="152">
        <f t="shared" si="64"/>
        <v>32.27227826086957</v>
      </c>
      <c r="N134" s="188">
        <f t="shared" si="65"/>
        <v>0.14516129032258074</v>
      </c>
      <c r="O134" s="153">
        <f t="shared" si="66"/>
        <v>9.090782608695653</v>
      </c>
      <c r="P134" s="154">
        <f t="shared" si="67"/>
        <v>9.090782608695653</v>
      </c>
      <c r="Q134" s="176">
        <f t="shared" si="68"/>
      </c>
      <c r="R134" s="100">
        <f t="shared" si="69"/>
        <v>4.090852173913049</v>
      </c>
      <c r="S134" s="184">
        <f t="shared" si="70"/>
        <v>0.10975609756097576</v>
      </c>
      <c r="U134" s="207" t="s">
        <v>240</v>
      </c>
      <c r="V134" s="4" t="s">
        <v>12</v>
      </c>
      <c r="X134" s="155">
        <v>116</v>
      </c>
      <c r="Y134" s="155">
        <v>124</v>
      </c>
      <c r="Z134" s="155">
        <v>142</v>
      </c>
      <c r="AA134" s="155"/>
      <c r="AB134" s="155">
        <v>40</v>
      </c>
      <c r="AC134" s="155"/>
      <c r="AD134" s="155">
        <v>40</v>
      </c>
      <c r="AE134" s="155"/>
      <c r="AF134" s="155">
        <v>40</v>
      </c>
      <c r="AG134" s="32">
        <f t="shared" si="71"/>
        <v>156</v>
      </c>
      <c r="AH134" s="32">
        <f t="shared" si="72"/>
        <v>164</v>
      </c>
      <c r="AI134" s="32">
        <f t="shared" si="73"/>
        <v>182</v>
      </c>
      <c r="AJ134" s="33"/>
      <c r="AK134" s="26">
        <v>230000</v>
      </c>
      <c r="AL134" s="33"/>
      <c r="AM134" s="26">
        <v>230000</v>
      </c>
      <c r="AN134" s="33"/>
      <c r="AO134" s="26">
        <v>230000</v>
      </c>
      <c r="AP134" s="67">
        <f t="shared" si="74"/>
        <v>230000</v>
      </c>
      <c r="AQ134" s="34">
        <f t="shared" si="75"/>
        <v>100</v>
      </c>
      <c r="AR134" s="67">
        <f t="shared" si="76"/>
        <v>230000</v>
      </c>
      <c r="AS134" s="34">
        <f t="shared" si="77"/>
        <v>100</v>
      </c>
      <c r="AT134" s="28">
        <f t="shared" si="78"/>
        <v>124</v>
      </c>
      <c r="AU134" s="28">
        <f t="shared" si="79"/>
      </c>
      <c r="AV134" s="28">
        <f t="shared" si="80"/>
        <v>124</v>
      </c>
      <c r="AW134" s="24">
        <f t="shared" si="81"/>
        <v>18</v>
      </c>
      <c r="AX134" s="24">
        <f t="shared" si="82"/>
      </c>
      <c r="AY134" s="24">
        <f t="shared" si="83"/>
        <v>58</v>
      </c>
      <c r="AZ134" s="156">
        <f t="shared" si="84"/>
        <v>52272</v>
      </c>
      <c r="BA134" s="35">
        <f t="shared" si="85"/>
        <v>0.2272695652173913</v>
      </c>
      <c r="BB134" s="35">
        <f t="shared" si="86"/>
        <v>32.27227826086957</v>
      </c>
      <c r="BC134" s="36">
        <f t="shared" si="87"/>
        <v>9.090782608695653</v>
      </c>
      <c r="BD134" s="36">
        <f t="shared" si="88"/>
        <v>41.363060869565224</v>
      </c>
      <c r="BE134" s="36" t="str">
        <f t="shared" si="89"/>
        <v>yes</v>
      </c>
      <c r="BF134" s="37">
        <f t="shared" si="90"/>
        <v>0.2272695652173913</v>
      </c>
      <c r="BG134" s="37">
        <f t="shared" si="91"/>
        <v>28.181426086956524</v>
      </c>
      <c r="BH134" s="36">
        <f t="shared" si="92"/>
        <v>9.090782608695653</v>
      </c>
      <c r="BI134" s="38">
        <f t="shared" si="93"/>
        <v>37.272208695652175</v>
      </c>
      <c r="BJ134" s="1" t="str">
        <f t="shared" si="94"/>
        <v>yes</v>
      </c>
      <c r="BK134" s="37">
        <f t="shared" si="56"/>
        <v>4.090852173913046</v>
      </c>
      <c r="BL134" s="37">
        <f t="shared" si="56"/>
        <v>0</v>
      </c>
      <c r="BM134" s="7">
        <f t="shared" si="95"/>
        <v>4.090852173913049</v>
      </c>
      <c r="BN134" s="7">
        <f t="shared" si="96"/>
        <v>0</v>
      </c>
    </row>
    <row r="135" spans="2:68" ht="18" customHeight="1">
      <c r="B135" s="4" t="s">
        <v>12</v>
      </c>
      <c r="C135" s="4" t="s">
        <v>98</v>
      </c>
      <c r="D135" s="157" t="s">
        <v>184</v>
      </c>
      <c r="E135" s="158" t="s">
        <v>93</v>
      </c>
      <c r="F135" s="79">
        <f t="shared" si="57"/>
        <v>52272</v>
      </c>
      <c r="G135" s="80">
        <f t="shared" si="58"/>
        <v>40</v>
      </c>
      <c r="H135" s="149">
        <f t="shared" si="59"/>
        <v>4</v>
      </c>
      <c r="I135" s="150">
        <f t="shared" si="60"/>
        <v>67.68087652173914</v>
      </c>
      <c r="J135" s="83">
        <f t="shared" si="61"/>
        <v>71.77172869565217</v>
      </c>
      <c r="K135" s="84">
        <f t="shared" si="62"/>
        <v>73.58988521739131</v>
      </c>
      <c r="L135" s="151">
        <f t="shared" si="63"/>
        <v>30.454121739130436</v>
      </c>
      <c r="M135" s="152">
        <f t="shared" si="64"/>
        <v>32.27227826086957</v>
      </c>
      <c r="N135" s="188">
        <f t="shared" si="65"/>
        <v>0.059701492537313605</v>
      </c>
      <c r="O135" s="153">
        <f t="shared" si="66"/>
        <v>41.31760695652174</v>
      </c>
      <c r="P135" s="154">
        <f t="shared" si="67"/>
        <v>41.31760695652174</v>
      </c>
      <c r="Q135" s="176">
        <f t="shared" si="68"/>
        <v>0</v>
      </c>
      <c r="R135" s="100">
        <f t="shared" si="69"/>
        <v>1.8181565217391409</v>
      </c>
      <c r="S135" s="184">
        <f t="shared" si="70"/>
        <v>0.025332488917036246</v>
      </c>
      <c r="U135" s="208" t="s">
        <v>98</v>
      </c>
      <c r="V135" s="4" t="s">
        <v>12</v>
      </c>
      <c r="X135" s="32">
        <v>126</v>
      </c>
      <c r="Y135" s="32">
        <v>134</v>
      </c>
      <c r="Z135" s="32">
        <v>142</v>
      </c>
      <c r="AA135" s="32">
        <v>131.8</v>
      </c>
      <c r="AB135" s="32">
        <v>40</v>
      </c>
      <c r="AC135" s="32">
        <v>141.8</v>
      </c>
      <c r="AD135" s="32">
        <v>40</v>
      </c>
      <c r="AE135" s="32">
        <v>141.8</v>
      </c>
      <c r="AF135" s="32">
        <v>40</v>
      </c>
      <c r="AG135" s="32">
        <f t="shared" si="71"/>
        <v>297.8</v>
      </c>
      <c r="AH135" s="32">
        <f t="shared" si="72"/>
        <v>315.8</v>
      </c>
      <c r="AI135" s="32">
        <f t="shared" si="73"/>
        <v>323.8</v>
      </c>
      <c r="AJ135" s="33"/>
      <c r="AK135" s="26">
        <v>230000</v>
      </c>
      <c r="AL135" s="33"/>
      <c r="AM135" s="26">
        <v>230000</v>
      </c>
      <c r="AN135" s="33"/>
      <c r="AO135" s="26">
        <v>230000</v>
      </c>
      <c r="AP135" s="67">
        <f t="shared" si="74"/>
        <v>230000</v>
      </c>
      <c r="AQ135" s="34">
        <f t="shared" si="75"/>
        <v>100</v>
      </c>
      <c r="AR135" s="67">
        <f t="shared" si="76"/>
        <v>230000</v>
      </c>
      <c r="AS135" s="34">
        <f t="shared" si="77"/>
        <v>100</v>
      </c>
      <c r="AT135" s="28">
        <f t="shared" si="78"/>
        <v>134</v>
      </c>
      <c r="AU135" s="28">
        <f t="shared" si="79"/>
        <v>181.8</v>
      </c>
      <c r="AV135" s="28">
        <f t="shared" si="80"/>
        <v>315.8</v>
      </c>
      <c r="AW135" s="24">
        <f t="shared" si="81"/>
        <v>8</v>
      </c>
      <c r="AX135" s="24">
        <f t="shared" si="82"/>
        <v>0</v>
      </c>
      <c r="AY135" s="24">
        <f t="shared" si="83"/>
        <v>8</v>
      </c>
      <c r="AZ135" s="156">
        <f t="shared" si="84"/>
        <v>52272</v>
      </c>
      <c r="BA135" s="35">
        <f t="shared" si="85"/>
        <v>0.2272695652173913</v>
      </c>
      <c r="BB135" s="35">
        <f t="shared" si="86"/>
        <v>32.27227826086957</v>
      </c>
      <c r="BC135" s="36">
        <f t="shared" si="87"/>
        <v>41.31760695652174</v>
      </c>
      <c r="BD135" s="36">
        <f t="shared" si="88"/>
        <v>73.58988521739131</v>
      </c>
      <c r="BE135" s="36" t="str">
        <f t="shared" si="89"/>
        <v>yes</v>
      </c>
      <c r="BF135" s="37">
        <f t="shared" si="90"/>
        <v>0.2272695652173913</v>
      </c>
      <c r="BG135" s="37">
        <f t="shared" si="91"/>
        <v>30.454121739130436</v>
      </c>
      <c r="BH135" s="36">
        <f t="shared" si="92"/>
        <v>41.31760695652174</v>
      </c>
      <c r="BI135" s="38">
        <f t="shared" si="93"/>
        <v>71.77172869565217</v>
      </c>
      <c r="BJ135" s="1" t="str">
        <f t="shared" si="94"/>
        <v>yes</v>
      </c>
      <c r="BK135" s="37">
        <f aca="true" t="shared" si="97" ref="BK135:BL146">IF(BG135="","",IF(BG135=0,"",BB135-BG135))</f>
        <v>1.8181565217391338</v>
      </c>
      <c r="BL135" s="37">
        <f t="shared" si="97"/>
        <v>0</v>
      </c>
      <c r="BM135" s="7">
        <f t="shared" si="95"/>
        <v>1.8181565217391409</v>
      </c>
      <c r="BN135" s="7">
        <f t="shared" si="96"/>
        <v>0</v>
      </c>
      <c r="BO135" s="38"/>
      <c r="BP135" s="38"/>
    </row>
    <row r="136" spans="4:68" ht="18" customHeight="1">
      <c r="D136" s="157" t="s">
        <v>184</v>
      </c>
      <c r="E136" s="158" t="s">
        <v>56</v>
      </c>
      <c r="F136" s="79">
        <f t="shared" si="57"/>
        <v>52272</v>
      </c>
      <c r="G136" s="80">
        <f t="shared" si="58"/>
        <v>40</v>
      </c>
      <c r="H136" s="149">
        <f t="shared" si="59"/>
        <v>4</v>
      </c>
      <c r="I136" s="150">
        <f>IF(AK136="","",IF($F136&gt;0,($F136/$AK136)*AG136,IF($G136&gt;0,(((43560/($G136/12))*$H136)/$AK136)*AG136,0)))</f>
        <v>0</v>
      </c>
      <c r="J136" s="83">
        <f>BI136</f>
        <v>0</v>
      </c>
      <c r="K136" s="84">
        <f>BD136</f>
        <v>73.58988521739131</v>
      </c>
      <c r="L136" s="151">
        <f>BG136</f>
      </c>
      <c r="M136" s="152">
        <f>BB136</f>
        <v>32.27227826086957</v>
      </c>
      <c r="N136" s="188" t="str">
        <f>IF(R136="New","New",(M136/L136)-1)</f>
        <v>New</v>
      </c>
      <c r="O136" s="153">
        <f>IF(AW136="","",BH136)</f>
      </c>
      <c r="P136" s="154">
        <f>IF(BC136="","",BC136)</f>
        <v>41.31760695652174</v>
      </c>
      <c r="Q136" s="176" t="str">
        <f>IF(R136="New","New",IF(AX136="","",(P136/O136)-1))</f>
        <v>New</v>
      </c>
      <c r="R136" s="100" t="str">
        <f>IF(J136="","New",IF(J136=0,"New",K136-J136))</f>
        <v>New</v>
      </c>
      <c r="S136" s="184">
        <f>IF(R136="New","",R136/J136)</f>
      </c>
      <c r="U136" s="208" t="s">
        <v>98</v>
      </c>
      <c r="V136" s="4" t="s">
        <v>12</v>
      </c>
      <c r="X136" s="32"/>
      <c r="Y136" s="32"/>
      <c r="Z136" s="32">
        <v>142</v>
      </c>
      <c r="AA136" s="32"/>
      <c r="AB136" s="32"/>
      <c r="AC136" s="32"/>
      <c r="AD136" s="32"/>
      <c r="AE136" s="32">
        <v>141.8</v>
      </c>
      <c r="AF136" s="32">
        <v>40</v>
      </c>
      <c r="AG136" s="32">
        <f t="shared" si="71"/>
        <v>0</v>
      </c>
      <c r="AH136" s="32">
        <f t="shared" si="72"/>
        <v>0</v>
      </c>
      <c r="AI136" s="32">
        <f t="shared" si="73"/>
        <v>323.8</v>
      </c>
      <c r="AJ136" s="33"/>
      <c r="AK136" s="26">
        <v>230000</v>
      </c>
      <c r="AL136" s="33"/>
      <c r="AM136" s="26">
        <v>230000</v>
      </c>
      <c r="AN136" s="33"/>
      <c r="AO136" s="26">
        <v>230000</v>
      </c>
      <c r="AP136" s="67">
        <f>AK136</f>
        <v>230000</v>
      </c>
      <c r="AQ136" s="34">
        <f>IF(AK136&gt;0,AM136/AK136*100,"Not Avail.")</f>
        <v>100</v>
      </c>
      <c r="AR136" s="67">
        <f>AM136</f>
        <v>230000</v>
      </c>
      <c r="AS136" s="34">
        <f>IF(AM136&gt;0,AO136/AM136*100,"Not Avail.")</f>
        <v>100</v>
      </c>
      <c r="AT136" s="28">
        <f t="shared" si="78"/>
      </c>
      <c r="AU136" s="28">
        <f t="shared" si="79"/>
      </c>
      <c r="AV136" s="28">
        <f>IF(AT136="","",SUM(AT136:AU136))</f>
      </c>
      <c r="AW136" s="24">
        <f t="shared" si="81"/>
      </c>
      <c r="AX136" s="24">
        <f t="shared" si="82"/>
      </c>
      <c r="AY136" s="24" t="str">
        <f>IF(AH136&gt;0,AI136-AV136,"New")</f>
        <v>New</v>
      </c>
      <c r="AZ136" s="156">
        <f>F136</f>
        <v>52272</v>
      </c>
      <c r="BA136" s="35">
        <f t="shared" si="85"/>
        <v>0.2272695652173913</v>
      </c>
      <c r="BB136" s="35">
        <f t="shared" si="86"/>
        <v>32.27227826086957</v>
      </c>
      <c r="BC136" s="36">
        <f t="shared" si="87"/>
        <v>41.31760695652174</v>
      </c>
      <c r="BD136" s="36">
        <f>BB136+BC136</f>
        <v>73.58988521739131</v>
      </c>
      <c r="BE136" s="36" t="str">
        <f>IF(BD136=K136,"yes","no")</f>
        <v>yes</v>
      </c>
      <c r="BF136" s="37">
        <f>IF(AM136="","",IF($F136&gt;0,($F136/AM136),IF($G136&gt;0,((((43560/($G136/12))*$H136)/$AM136)),0)))</f>
        <v>0.2272695652173913</v>
      </c>
      <c r="BG136" s="37">
        <f t="shared" si="91"/>
      </c>
      <c r="BH136" s="36">
        <f t="shared" si="92"/>
        <v>0</v>
      </c>
      <c r="BI136" s="38">
        <f>SUM(BG136:BH136)</f>
        <v>0</v>
      </c>
      <c r="BJ136" s="1" t="str">
        <f>IF(J136=BI136,"yes","no")</f>
        <v>yes</v>
      </c>
      <c r="BK136" s="37">
        <f>IF(BG136="","",IF(BG136=0,"",BB136-BG136))</f>
      </c>
      <c r="BL136" s="37">
        <f>IF(BH136="","",IF(BH136=0,"",BC136-BH136))</f>
      </c>
      <c r="BM136" s="7">
        <f>IF(BK136="","",BD136-BI136)</f>
      </c>
      <c r="BN136" s="7" t="e">
        <f>R136-BM136</f>
        <v>#VALUE!</v>
      </c>
      <c r="BO136" s="38"/>
      <c r="BP136" s="38"/>
    </row>
    <row r="137" spans="3:66" ht="18" customHeight="1">
      <c r="C137" s="29"/>
      <c r="D137" s="159" t="s">
        <v>184</v>
      </c>
      <c r="E137" s="158" t="s">
        <v>171</v>
      </c>
      <c r="F137" s="79">
        <f t="shared" si="57"/>
        <v>52272</v>
      </c>
      <c r="G137" s="80">
        <f t="shared" si="58"/>
        <v>40</v>
      </c>
      <c r="H137" s="149">
        <f t="shared" si="59"/>
        <v>4</v>
      </c>
      <c r="I137" s="150">
        <f t="shared" si="60"/>
        <v>0</v>
      </c>
      <c r="J137" s="83">
        <f t="shared" si="61"/>
        <v>62.680946086956524</v>
      </c>
      <c r="K137" s="84">
        <f t="shared" si="62"/>
        <v>64.49910260869567</v>
      </c>
      <c r="L137" s="151">
        <f t="shared" si="63"/>
        <v>30.454121739130436</v>
      </c>
      <c r="M137" s="152">
        <f t="shared" si="64"/>
        <v>32.27227826086957</v>
      </c>
      <c r="N137" s="188">
        <f t="shared" si="65"/>
        <v>0.059701492537313605</v>
      </c>
      <c r="O137" s="153">
        <f t="shared" si="66"/>
        <v>32.22682434782609</v>
      </c>
      <c r="P137" s="154">
        <f t="shared" si="67"/>
        <v>32.22682434782609</v>
      </c>
      <c r="Q137" s="176">
        <f t="shared" si="68"/>
        <v>0</v>
      </c>
      <c r="R137" s="100">
        <f t="shared" si="69"/>
        <v>1.8181565217391409</v>
      </c>
      <c r="S137" s="184">
        <f t="shared" si="70"/>
        <v>0.029006526468455567</v>
      </c>
      <c r="U137" s="207" t="s">
        <v>111</v>
      </c>
      <c r="V137" s="4" t="s">
        <v>12</v>
      </c>
      <c r="X137" s="155"/>
      <c r="Y137" s="155">
        <v>134</v>
      </c>
      <c r="Z137" s="155">
        <v>142</v>
      </c>
      <c r="AA137" s="32"/>
      <c r="AB137" s="155"/>
      <c r="AC137" s="155">
        <v>141.8</v>
      </c>
      <c r="AD137" s="155"/>
      <c r="AE137" s="155">
        <v>141.8</v>
      </c>
      <c r="AF137" s="155"/>
      <c r="AG137" s="32">
        <f t="shared" si="71"/>
        <v>0</v>
      </c>
      <c r="AH137" s="32">
        <f t="shared" si="72"/>
        <v>275.8</v>
      </c>
      <c r="AI137" s="32">
        <f t="shared" si="73"/>
        <v>283.8</v>
      </c>
      <c r="AJ137" s="33"/>
      <c r="AK137" s="26">
        <v>230000</v>
      </c>
      <c r="AL137" s="33"/>
      <c r="AM137" s="26">
        <v>230000</v>
      </c>
      <c r="AN137" s="33"/>
      <c r="AO137" s="26">
        <v>230000</v>
      </c>
      <c r="AP137" s="67">
        <f t="shared" si="74"/>
        <v>230000</v>
      </c>
      <c r="AQ137" s="34">
        <f t="shared" si="75"/>
        <v>100</v>
      </c>
      <c r="AR137" s="67">
        <f t="shared" si="76"/>
        <v>230000</v>
      </c>
      <c r="AS137" s="34">
        <f t="shared" si="77"/>
        <v>100</v>
      </c>
      <c r="AT137" s="28">
        <f t="shared" si="78"/>
        <v>134</v>
      </c>
      <c r="AU137" s="28">
        <f t="shared" si="79"/>
        <v>141.8</v>
      </c>
      <c r="AV137" s="28">
        <f t="shared" si="80"/>
        <v>275.8</v>
      </c>
      <c r="AW137" s="24">
        <f t="shared" si="81"/>
        <v>8</v>
      </c>
      <c r="AX137" s="24">
        <f t="shared" si="82"/>
        <v>0</v>
      </c>
      <c r="AY137" s="24">
        <f t="shared" si="83"/>
        <v>8</v>
      </c>
      <c r="AZ137" s="156">
        <f t="shared" si="84"/>
        <v>52272</v>
      </c>
      <c r="BA137" s="35">
        <f t="shared" si="85"/>
        <v>0.2272695652173913</v>
      </c>
      <c r="BB137" s="35">
        <f t="shared" si="86"/>
        <v>32.27227826086957</v>
      </c>
      <c r="BC137" s="36">
        <f t="shared" si="87"/>
        <v>32.22682434782609</v>
      </c>
      <c r="BD137" s="36">
        <f t="shared" si="88"/>
        <v>64.49910260869567</v>
      </c>
      <c r="BE137" s="36" t="str">
        <f t="shared" si="89"/>
        <v>yes</v>
      </c>
      <c r="BF137" s="37">
        <f t="shared" si="90"/>
        <v>0.2272695652173913</v>
      </c>
      <c r="BG137" s="37">
        <f t="shared" si="91"/>
        <v>30.454121739130436</v>
      </c>
      <c r="BH137" s="36">
        <f t="shared" si="92"/>
        <v>32.22682434782609</v>
      </c>
      <c r="BI137" s="38">
        <f t="shared" si="93"/>
        <v>62.680946086956524</v>
      </c>
      <c r="BJ137" s="1" t="str">
        <f t="shared" si="94"/>
        <v>yes</v>
      </c>
      <c r="BK137" s="37">
        <f t="shared" si="97"/>
        <v>1.8181565217391338</v>
      </c>
      <c r="BL137" s="37">
        <f t="shared" si="97"/>
        <v>0</v>
      </c>
      <c r="BM137" s="7">
        <f t="shared" si="95"/>
        <v>1.8181565217391409</v>
      </c>
      <c r="BN137" s="7">
        <f t="shared" si="96"/>
        <v>0</v>
      </c>
    </row>
    <row r="138" spans="3:66" ht="18" customHeight="1">
      <c r="C138" s="29"/>
      <c r="D138" s="159" t="s">
        <v>184</v>
      </c>
      <c r="E138" s="158" t="s">
        <v>109</v>
      </c>
      <c r="F138" s="79">
        <f t="shared" si="57"/>
        <v>52272</v>
      </c>
      <c r="G138" s="80">
        <f t="shared" si="58"/>
        <v>40</v>
      </c>
      <c r="H138" s="149">
        <f t="shared" si="59"/>
        <v>4</v>
      </c>
      <c r="I138" s="150">
        <f t="shared" si="60"/>
        <v>0</v>
      </c>
      <c r="J138" s="83">
        <f t="shared" si="61"/>
        <v>71.77172869565217</v>
      </c>
      <c r="K138" s="84">
        <f t="shared" si="62"/>
        <v>73.58988521739131</v>
      </c>
      <c r="L138" s="151">
        <f t="shared" si="63"/>
        <v>30.454121739130436</v>
      </c>
      <c r="M138" s="152">
        <f t="shared" si="64"/>
        <v>32.27227826086957</v>
      </c>
      <c r="N138" s="188">
        <f t="shared" si="65"/>
        <v>0.059701492537313605</v>
      </c>
      <c r="O138" s="153">
        <f t="shared" si="66"/>
        <v>41.31760695652174</v>
      </c>
      <c r="P138" s="154">
        <f t="shared" si="67"/>
        <v>41.31760695652174</v>
      </c>
      <c r="Q138" s="176">
        <f t="shared" si="68"/>
        <v>0</v>
      </c>
      <c r="R138" s="100">
        <f t="shared" si="69"/>
        <v>1.8181565217391409</v>
      </c>
      <c r="S138" s="184">
        <f t="shared" si="70"/>
        <v>0.025332488917036246</v>
      </c>
      <c r="U138" s="207" t="s">
        <v>112</v>
      </c>
      <c r="V138" s="4" t="s">
        <v>12</v>
      </c>
      <c r="X138" s="155"/>
      <c r="Y138" s="155">
        <v>134</v>
      </c>
      <c r="Z138" s="155">
        <v>142</v>
      </c>
      <c r="AA138" s="32"/>
      <c r="AB138" s="155"/>
      <c r="AC138" s="155">
        <v>141.8</v>
      </c>
      <c r="AD138" s="155">
        <v>40</v>
      </c>
      <c r="AE138" s="155">
        <v>141.8</v>
      </c>
      <c r="AF138" s="155">
        <v>40</v>
      </c>
      <c r="AG138" s="32">
        <f t="shared" si="71"/>
        <v>0</v>
      </c>
      <c r="AH138" s="32">
        <f t="shared" si="72"/>
        <v>315.8</v>
      </c>
      <c r="AI138" s="32">
        <f t="shared" si="73"/>
        <v>323.8</v>
      </c>
      <c r="AJ138" s="33"/>
      <c r="AK138" s="26">
        <v>230000</v>
      </c>
      <c r="AL138" s="33"/>
      <c r="AM138" s="26">
        <v>230000</v>
      </c>
      <c r="AN138" s="33"/>
      <c r="AO138" s="26">
        <v>230000</v>
      </c>
      <c r="AP138" s="67">
        <f t="shared" si="74"/>
        <v>230000</v>
      </c>
      <c r="AQ138" s="34">
        <f t="shared" si="75"/>
        <v>100</v>
      </c>
      <c r="AR138" s="67">
        <f t="shared" si="76"/>
        <v>230000</v>
      </c>
      <c r="AS138" s="34">
        <f t="shared" si="77"/>
        <v>100</v>
      </c>
      <c r="AT138" s="28">
        <f t="shared" si="78"/>
        <v>134</v>
      </c>
      <c r="AU138" s="28">
        <f t="shared" si="79"/>
        <v>181.8</v>
      </c>
      <c r="AV138" s="28">
        <f t="shared" si="80"/>
        <v>315.8</v>
      </c>
      <c r="AW138" s="24">
        <f t="shared" si="81"/>
        <v>8</v>
      </c>
      <c r="AX138" s="24">
        <f t="shared" si="82"/>
        <v>0</v>
      </c>
      <c r="AY138" s="24">
        <f t="shared" si="83"/>
        <v>8</v>
      </c>
      <c r="AZ138" s="156">
        <f t="shared" si="84"/>
        <v>52272</v>
      </c>
      <c r="BA138" s="35">
        <f t="shared" si="85"/>
        <v>0.2272695652173913</v>
      </c>
      <c r="BB138" s="35">
        <f t="shared" si="86"/>
        <v>32.27227826086957</v>
      </c>
      <c r="BC138" s="36">
        <f t="shared" si="87"/>
        <v>41.31760695652174</v>
      </c>
      <c r="BD138" s="36">
        <f t="shared" si="88"/>
        <v>73.58988521739131</v>
      </c>
      <c r="BE138" s="36" t="str">
        <f t="shared" si="89"/>
        <v>yes</v>
      </c>
      <c r="BF138" s="37">
        <f t="shared" si="90"/>
        <v>0.2272695652173913</v>
      </c>
      <c r="BG138" s="37">
        <f t="shared" si="91"/>
        <v>30.454121739130436</v>
      </c>
      <c r="BH138" s="36">
        <f t="shared" si="92"/>
        <v>41.31760695652174</v>
      </c>
      <c r="BI138" s="38">
        <f t="shared" si="93"/>
        <v>71.77172869565217</v>
      </c>
      <c r="BJ138" s="1" t="str">
        <f t="shared" si="94"/>
        <v>yes</v>
      </c>
      <c r="BK138" s="37">
        <f t="shared" si="97"/>
        <v>1.8181565217391338</v>
      </c>
      <c r="BL138" s="37">
        <f t="shared" si="97"/>
        <v>0</v>
      </c>
      <c r="BM138" s="7">
        <f t="shared" si="95"/>
        <v>1.8181565217391409</v>
      </c>
      <c r="BN138" s="7">
        <f t="shared" si="96"/>
        <v>0</v>
      </c>
    </row>
    <row r="139" spans="3:66" ht="18" customHeight="1">
      <c r="C139" s="29"/>
      <c r="D139" s="159" t="s">
        <v>184</v>
      </c>
      <c r="E139" s="158" t="s">
        <v>57</v>
      </c>
      <c r="F139" s="79">
        <f t="shared" si="57"/>
        <v>52272</v>
      </c>
      <c r="G139" s="80">
        <f t="shared" si="58"/>
        <v>40</v>
      </c>
      <c r="H139" s="149">
        <f t="shared" si="59"/>
        <v>4</v>
      </c>
      <c r="I139" s="150">
        <f>IF(AK139="","",IF($F139&gt;0,($F139/$AK139)*AG139,IF($G139&gt;0,(((43560/($G139/12))*$H139)/$AK139)*AG139,0)))</f>
        <v>0</v>
      </c>
      <c r="J139" s="83">
        <f>BI139</f>
        <v>0</v>
      </c>
      <c r="K139" s="84">
        <f>BD139</f>
        <v>73.58988521739131</v>
      </c>
      <c r="L139" s="151">
        <f>BG139</f>
      </c>
      <c r="M139" s="152">
        <f>BB139</f>
        <v>32.27227826086957</v>
      </c>
      <c r="N139" s="188" t="str">
        <f>IF(R139="New","New",(M139/L139)-1)</f>
        <v>New</v>
      </c>
      <c r="O139" s="153">
        <f>IF(AW139="","",BH139)</f>
      </c>
      <c r="P139" s="154">
        <f>IF(BC139="","",BC139)</f>
        <v>41.31760695652174</v>
      </c>
      <c r="Q139" s="176" t="str">
        <f>IF(R139="New","New",IF(AX139="","",(P139/O139)-1))</f>
        <v>New</v>
      </c>
      <c r="R139" s="100" t="str">
        <f>IF(J139="","New",IF(J139=0,"New",K139-J139))</f>
        <v>New</v>
      </c>
      <c r="S139" s="184">
        <f>IF(R139="New","",R139/J139)</f>
      </c>
      <c r="U139" s="207" t="s">
        <v>112</v>
      </c>
      <c r="V139" s="4" t="s">
        <v>12</v>
      </c>
      <c r="X139" s="155"/>
      <c r="Y139" s="155"/>
      <c r="Z139" s="155">
        <v>142</v>
      </c>
      <c r="AA139" s="32"/>
      <c r="AB139" s="155"/>
      <c r="AC139" s="155"/>
      <c r="AD139" s="155"/>
      <c r="AE139" s="155">
        <v>141.8</v>
      </c>
      <c r="AF139" s="155">
        <v>40</v>
      </c>
      <c r="AG139" s="32">
        <f t="shared" si="71"/>
        <v>0</v>
      </c>
      <c r="AH139" s="32">
        <f t="shared" si="72"/>
        <v>0</v>
      </c>
      <c r="AI139" s="32">
        <f t="shared" si="73"/>
        <v>323.8</v>
      </c>
      <c r="AJ139" s="33"/>
      <c r="AK139" s="26">
        <v>230000</v>
      </c>
      <c r="AL139" s="33"/>
      <c r="AM139" s="26">
        <v>230000</v>
      </c>
      <c r="AN139" s="33"/>
      <c r="AO139" s="26">
        <v>230000</v>
      </c>
      <c r="AP139" s="67">
        <f>AK139</f>
        <v>230000</v>
      </c>
      <c r="AQ139" s="34">
        <f>IF(AK139&gt;0,AM139/AK139*100,"Not Avail.")</f>
        <v>100</v>
      </c>
      <c r="AR139" s="67">
        <f>AM139</f>
        <v>230000</v>
      </c>
      <c r="AS139" s="34">
        <f>IF(AM139&gt;0,AO139/AM139*100,"Not Avail.")</f>
        <v>100</v>
      </c>
      <c r="AT139" s="28">
        <f t="shared" si="78"/>
      </c>
      <c r="AU139" s="28">
        <f t="shared" si="79"/>
      </c>
      <c r="AV139" s="28">
        <f>IF(AT139="","",SUM(AT139:AU139))</f>
      </c>
      <c r="AW139" s="24">
        <f t="shared" si="81"/>
      </c>
      <c r="AX139" s="24">
        <f t="shared" si="82"/>
      </c>
      <c r="AY139" s="24" t="str">
        <f>IF(AH139&gt;0,AI139-AV139,"New")</f>
        <v>New</v>
      </c>
      <c r="AZ139" s="156">
        <f>F139</f>
        <v>52272</v>
      </c>
      <c r="BA139" s="35">
        <f t="shared" si="85"/>
        <v>0.2272695652173913</v>
      </c>
      <c r="BB139" s="35">
        <f t="shared" si="86"/>
        <v>32.27227826086957</v>
      </c>
      <c r="BC139" s="36">
        <f t="shared" si="87"/>
        <v>41.31760695652174</v>
      </c>
      <c r="BD139" s="36">
        <f>BB139+BC139</f>
        <v>73.58988521739131</v>
      </c>
      <c r="BE139" s="36" t="str">
        <f>IF(BD139=K139,"yes","no")</f>
        <v>yes</v>
      </c>
      <c r="BF139" s="37">
        <f>IF(AM139="","",IF($F139&gt;0,($F139/AM139),IF($G139&gt;0,((((43560/($G139/12))*$H139)/$AM139)),0)))</f>
        <v>0.2272695652173913</v>
      </c>
      <c r="BG139" s="37">
        <f t="shared" si="91"/>
      </c>
      <c r="BH139" s="36">
        <f t="shared" si="92"/>
        <v>0</v>
      </c>
      <c r="BI139" s="38">
        <f>SUM(BG139:BH139)</f>
        <v>0</v>
      </c>
      <c r="BJ139" s="1" t="str">
        <f>IF(J139=BI139,"yes","no")</f>
        <v>yes</v>
      </c>
      <c r="BK139" s="37">
        <f>IF(BG139="","",IF(BG139=0,"",BB139-BG139))</f>
      </c>
      <c r="BL139" s="37">
        <f>IF(BH139="","",IF(BH139=0,"",BC139-BH139))</f>
      </c>
      <c r="BM139" s="7">
        <f>IF(BK139="","",BD139-BI139)</f>
      </c>
      <c r="BN139" s="7" t="e">
        <f>R139-BM139</f>
        <v>#VALUE!</v>
      </c>
    </row>
    <row r="140" spans="4:66" ht="18" customHeight="1">
      <c r="D140" s="157" t="s">
        <v>90</v>
      </c>
      <c r="E140" s="158" t="s">
        <v>106</v>
      </c>
      <c r="F140" s="79">
        <f t="shared" si="57"/>
        <v>52272</v>
      </c>
      <c r="G140" s="80">
        <f t="shared" si="58"/>
        <v>40</v>
      </c>
      <c r="H140" s="149">
        <f t="shared" si="59"/>
        <v>4</v>
      </c>
      <c r="I140" s="150">
        <f t="shared" si="60"/>
      </c>
      <c r="J140" s="83">
        <f t="shared" si="61"/>
        <v>73.15704</v>
      </c>
      <c r="K140" s="84">
        <f t="shared" si="62"/>
        <v>74.34504000000001</v>
      </c>
      <c r="L140" s="151">
        <f t="shared" si="63"/>
        <v>32.3136</v>
      </c>
      <c r="M140" s="152">
        <f t="shared" si="64"/>
        <v>33.5016</v>
      </c>
      <c r="N140" s="188">
        <f t="shared" si="65"/>
        <v>0.03676470588235303</v>
      </c>
      <c r="O140" s="153">
        <f t="shared" si="66"/>
        <v>40.84344</v>
      </c>
      <c r="P140" s="154">
        <f t="shared" si="67"/>
        <v>40.84344</v>
      </c>
      <c r="Q140" s="176">
        <f t="shared" si="68"/>
        <v>0</v>
      </c>
      <c r="R140" s="100">
        <f t="shared" si="69"/>
        <v>1.1880000000000166</v>
      </c>
      <c r="S140" s="184">
        <f t="shared" si="70"/>
        <v>0.016239038648912213</v>
      </c>
      <c r="U140" s="208" t="s">
        <v>108</v>
      </c>
      <c r="V140" s="4" t="s">
        <v>12</v>
      </c>
      <c r="X140" s="155"/>
      <c r="Y140" s="155">
        <v>136</v>
      </c>
      <c r="Z140" s="155">
        <v>141</v>
      </c>
      <c r="AA140" s="155"/>
      <c r="AB140" s="155"/>
      <c r="AC140" s="155">
        <v>171.9</v>
      </c>
      <c r="AD140" s="155"/>
      <c r="AE140" s="155">
        <v>171.9</v>
      </c>
      <c r="AF140" s="155"/>
      <c r="AG140" s="32">
        <f t="shared" si="71"/>
        <v>0</v>
      </c>
      <c r="AH140" s="32">
        <f t="shared" si="72"/>
        <v>307.9</v>
      </c>
      <c r="AI140" s="32">
        <f t="shared" si="73"/>
        <v>312.9</v>
      </c>
      <c r="AJ140" s="33"/>
      <c r="AK140" s="33"/>
      <c r="AL140" s="33"/>
      <c r="AM140" s="33">
        <v>220000</v>
      </c>
      <c r="AN140" s="33"/>
      <c r="AO140" s="33">
        <v>220000</v>
      </c>
      <c r="AP140" s="67">
        <f t="shared" si="74"/>
        <v>0</v>
      </c>
      <c r="AQ140" s="34" t="str">
        <f t="shared" si="75"/>
        <v>Not Avail.</v>
      </c>
      <c r="AR140" s="67">
        <f t="shared" si="76"/>
        <v>220000</v>
      </c>
      <c r="AS140" s="34">
        <f t="shared" si="77"/>
        <v>100</v>
      </c>
      <c r="AT140" s="28">
        <f t="shared" si="78"/>
        <v>136</v>
      </c>
      <c r="AU140" s="28">
        <f t="shared" si="79"/>
        <v>171.9</v>
      </c>
      <c r="AV140" s="28">
        <f t="shared" si="80"/>
        <v>307.9</v>
      </c>
      <c r="AW140" s="24">
        <f t="shared" si="81"/>
        <v>5</v>
      </c>
      <c r="AX140" s="24">
        <f t="shared" si="82"/>
        <v>0</v>
      </c>
      <c r="AY140" s="24">
        <f t="shared" si="83"/>
        <v>5</v>
      </c>
      <c r="AZ140" s="156">
        <f t="shared" si="84"/>
        <v>52272</v>
      </c>
      <c r="BA140" s="35">
        <f t="shared" si="85"/>
        <v>0.2376</v>
      </c>
      <c r="BB140" s="35">
        <f t="shared" si="86"/>
        <v>33.5016</v>
      </c>
      <c r="BC140" s="36">
        <f t="shared" si="87"/>
        <v>40.84344</v>
      </c>
      <c r="BD140" s="36">
        <f t="shared" si="88"/>
        <v>74.34504000000001</v>
      </c>
      <c r="BE140" s="36" t="str">
        <f t="shared" si="89"/>
        <v>yes</v>
      </c>
      <c r="BF140" s="37">
        <f t="shared" si="90"/>
        <v>0.2376</v>
      </c>
      <c r="BG140" s="37">
        <f t="shared" si="91"/>
        <v>32.3136</v>
      </c>
      <c r="BH140" s="36">
        <f t="shared" si="92"/>
        <v>40.84344</v>
      </c>
      <c r="BI140" s="38">
        <f t="shared" si="93"/>
        <v>73.15704</v>
      </c>
      <c r="BJ140" s="1" t="str">
        <f t="shared" si="94"/>
        <v>yes</v>
      </c>
      <c r="BK140" s="37">
        <f t="shared" si="97"/>
        <v>1.1880000000000024</v>
      </c>
      <c r="BL140" s="37">
        <f t="shared" si="97"/>
        <v>0</v>
      </c>
      <c r="BM140" s="7">
        <f t="shared" si="95"/>
        <v>1.1880000000000166</v>
      </c>
      <c r="BN140" s="7">
        <f t="shared" si="96"/>
        <v>0</v>
      </c>
    </row>
    <row r="141" spans="2:66" ht="18" customHeight="1">
      <c r="B141" s="4" t="s">
        <v>12</v>
      </c>
      <c r="C141" s="4" t="s">
        <v>95</v>
      </c>
      <c r="D141" s="157" t="s">
        <v>90</v>
      </c>
      <c r="E141" s="158" t="s">
        <v>235</v>
      </c>
      <c r="F141" s="79">
        <f t="shared" si="57"/>
        <v>52272</v>
      </c>
      <c r="G141" s="80">
        <f t="shared" si="58"/>
        <v>40</v>
      </c>
      <c r="H141" s="149">
        <f t="shared" si="59"/>
        <v>4</v>
      </c>
      <c r="I141" s="150">
        <f t="shared" si="60"/>
        <v>66.47634782608695</v>
      </c>
      <c r="J141" s="83">
        <f t="shared" si="61"/>
        <v>71.96904</v>
      </c>
      <c r="K141" s="84">
        <f t="shared" si="62"/>
        <v>73.15704</v>
      </c>
      <c r="L141" s="151">
        <f t="shared" si="63"/>
        <v>31.125600000000002</v>
      </c>
      <c r="M141" s="152">
        <f t="shared" si="64"/>
        <v>32.3136</v>
      </c>
      <c r="N141" s="188">
        <f t="shared" si="65"/>
        <v>0.03816793893129766</v>
      </c>
      <c r="O141" s="153">
        <f t="shared" si="66"/>
        <v>40.84344</v>
      </c>
      <c r="P141" s="154">
        <f t="shared" si="67"/>
        <v>40.84344</v>
      </c>
      <c r="Q141" s="176">
        <f t="shared" si="68"/>
        <v>0</v>
      </c>
      <c r="R141" s="100">
        <f t="shared" si="69"/>
        <v>1.1879999999999882</v>
      </c>
      <c r="S141" s="184">
        <f t="shared" si="70"/>
        <v>0.016507098052162265</v>
      </c>
      <c r="U141" s="208" t="s">
        <v>95</v>
      </c>
      <c r="V141" s="4" t="s">
        <v>12</v>
      </c>
      <c r="X141" s="155">
        <v>128</v>
      </c>
      <c r="Y141" s="155">
        <v>131</v>
      </c>
      <c r="Z141" s="155">
        <v>136</v>
      </c>
      <c r="AA141" s="155">
        <v>164.5</v>
      </c>
      <c r="AB141" s="155"/>
      <c r="AC141" s="155">
        <v>171.9</v>
      </c>
      <c r="AD141" s="155"/>
      <c r="AE141" s="155">
        <v>171.9</v>
      </c>
      <c r="AF141" s="155"/>
      <c r="AG141" s="32">
        <f t="shared" si="71"/>
        <v>292.5</v>
      </c>
      <c r="AH141" s="32">
        <f t="shared" si="72"/>
        <v>302.9</v>
      </c>
      <c r="AI141" s="32">
        <f t="shared" si="73"/>
        <v>307.9</v>
      </c>
      <c r="AJ141" s="33"/>
      <c r="AK141" s="33">
        <v>230000</v>
      </c>
      <c r="AL141" s="33"/>
      <c r="AM141" s="33">
        <v>220000</v>
      </c>
      <c r="AN141" s="33"/>
      <c r="AO141" s="33">
        <v>220000</v>
      </c>
      <c r="AP141" s="67">
        <f t="shared" si="74"/>
        <v>230000</v>
      </c>
      <c r="AQ141" s="34">
        <f t="shared" si="75"/>
        <v>95.65217391304348</v>
      </c>
      <c r="AR141" s="67">
        <f t="shared" si="76"/>
        <v>220000</v>
      </c>
      <c r="AS141" s="34">
        <f t="shared" si="77"/>
        <v>100</v>
      </c>
      <c r="AT141" s="28">
        <f t="shared" si="78"/>
        <v>131</v>
      </c>
      <c r="AU141" s="28">
        <f t="shared" si="79"/>
        <v>171.9</v>
      </c>
      <c r="AV141" s="28">
        <f t="shared" si="80"/>
        <v>302.9</v>
      </c>
      <c r="AW141" s="24">
        <f t="shared" si="81"/>
        <v>5</v>
      </c>
      <c r="AX141" s="24">
        <f t="shared" si="82"/>
        <v>0</v>
      </c>
      <c r="AY141" s="24">
        <f t="shared" si="83"/>
        <v>5</v>
      </c>
      <c r="AZ141" s="156">
        <f t="shared" si="84"/>
        <v>52272</v>
      </c>
      <c r="BA141" s="35">
        <f t="shared" si="85"/>
        <v>0.2376</v>
      </c>
      <c r="BB141" s="35">
        <f t="shared" si="86"/>
        <v>32.3136</v>
      </c>
      <c r="BC141" s="36">
        <f t="shared" si="87"/>
        <v>40.84344</v>
      </c>
      <c r="BD141" s="36">
        <f t="shared" si="88"/>
        <v>73.15704</v>
      </c>
      <c r="BE141" s="36" t="str">
        <f t="shared" si="89"/>
        <v>yes</v>
      </c>
      <c r="BF141" s="37">
        <f t="shared" si="90"/>
        <v>0.2376</v>
      </c>
      <c r="BG141" s="37">
        <f t="shared" si="91"/>
        <v>31.125600000000002</v>
      </c>
      <c r="BH141" s="36">
        <f t="shared" si="92"/>
        <v>40.84344</v>
      </c>
      <c r="BI141" s="38">
        <f t="shared" si="93"/>
        <v>71.96904</v>
      </c>
      <c r="BJ141" s="1" t="str">
        <f t="shared" si="94"/>
        <v>yes</v>
      </c>
      <c r="BK141" s="37">
        <f t="shared" si="97"/>
        <v>1.1879999999999988</v>
      </c>
      <c r="BL141" s="37">
        <f t="shared" si="97"/>
        <v>0</v>
      </c>
      <c r="BM141" s="7">
        <f t="shared" si="95"/>
        <v>1.1879999999999882</v>
      </c>
      <c r="BN141" s="7">
        <f t="shared" si="96"/>
        <v>0</v>
      </c>
    </row>
    <row r="142" spans="2:66" ht="18" customHeight="1">
      <c r="B142" s="4" t="s">
        <v>12</v>
      </c>
      <c r="C142" s="4" t="s">
        <v>95</v>
      </c>
      <c r="D142" s="157" t="s">
        <v>90</v>
      </c>
      <c r="E142" s="158" t="s">
        <v>199</v>
      </c>
      <c r="F142" s="79">
        <f t="shared" si="57"/>
        <v>52272</v>
      </c>
      <c r="G142" s="80">
        <f t="shared" si="58"/>
        <v>40</v>
      </c>
      <c r="H142" s="149">
        <f t="shared" si="59"/>
        <v>4</v>
      </c>
      <c r="I142" s="150">
        <f t="shared" si="60"/>
        <v>66.47634782608695</v>
      </c>
      <c r="J142" s="83">
        <f t="shared" si="61"/>
        <v>71.96904</v>
      </c>
      <c r="K142" s="84">
        <f t="shared" si="62"/>
        <v>73.15704</v>
      </c>
      <c r="L142" s="151">
        <f t="shared" si="63"/>
        <v>31.125600000000002</v>
      </c>
      <c r="M142" s="152">
        <f t="shared" si="64"/>
        <v>32.3136</v>
      </c>
      <c r="N142" s="188">
        <f t="shared" si="65"/>
        <v>0.03816793893129766</v>
      </c>
      <c r="O142" s="153">
        <f t="shared" si="66"/>
        <v>40.84344</v>
      </c>
      <c r="P142" s="154">
        <f t="shared" si="67"/>
        <v>40.84344</v>
      </c>
      <c r="Q142" s="176">
        <f t="shared" si="68"/>
        <v>0</v>
      </c>
      <c r="R142" s="100">
        <f t="shared" si="69"/>
        <v>1.1879999999999882</v>
      </c>
      <c r="S142" s="184">
        <f t="shared" si="70"/>
        <v>0.016507098052162265</v>
      </c>
      <c r="U142" s="208" t="s">
        <v>95</v>
      </c>
      <c r="V142" s="4" t="s">
        <v>12</v>
      </c>
      <c r="X142" s="155">
        <v>128</v>
      </c>
      <c r="Y142" s="155">
        <v>131</v>
      </c>
      <c r="Z142" s="155">
        <v>136</v>
      </c>
      <c r="AA142" s="155">
        <v>164.5</v>
      </c>
      <c r="AB142" s="155"/>
      <c r="AC142" s="155">
        <v>171.9</v>
      </c>
      <c r="AD142" s="155"/>
      <c r="AE142" s="155">
        <v>171.9</v>
      </c>
      <c r="AF142" s="155"/>
      <c r="AG142" s="32">
        <f t="shared" si="71"/>
        <v>292.5</v>
      </c>
      <c r="AH142" s="32">
        <f t="shared" si="72"/>
        <v>302.9</v>
      </c>
      <c r="AI142" s="32">
        <f t="shared" si="73"/>
        <v>307.9</v>
      </c>
      <c r="AJ142" s="33"/>
      <c r="AK142" s="33">
        <v>230000</v>
      </c>
      <c r="AL142" s="33"/>
      <c r="AM142" s="33">
        <v>220000</v>
      </c>
      <c r="AN142" s="33"/>
      <c r="AO142" s="33">
        <v>220000</v>
      </c>
      <c r="AP142" s="67">
        <f t="shared" si="74"/>
        <v>230000</v>
      </c>
      <c r="AQ142" s="34">
        <f t="shared" si="75"/>
        <v>95.65217391304348</v>
      </c>
      <c r="AR142" s="67">
        <f t="shared" si="76"/>
        <v>220000</v>
      </c>
      <c r="AS142" s="34">
        <f t="shared" si="77"/>
        <v>100</v>
      </c>
      <c r="AT142" s="28">
        <f t="shared" si="78"/>
        <v>131</v>
      </c>
      <c r="AU142" s="28">
        <f t="shared" si="79"/>
        <v>171.9</v>
      </c>
      <c r="AV142" s="28">
        <f t="shared" si="80"/>
        <v>302.9</v>
      </c>
      <c r="AW142" s="24">
        <f t="shared" si="81"/>
        <v>5</v>
      </c>
      <c r="AX142" s="24">
        <f t="shared" si="82"/>
        <v>0</v>
      </c>
      <c r="AY142" s="24">
        <f t="shared" si="83"/>
        <v>5</v>
      </c>
      <c r="AZ142" s="156">
        <f t="shared" si="84"/>
        <v>52272</v>
      </c>
      <c r="BA142" s="35">
        <f t="shared" si="85"/>
        <v>0.2376</v>
      </c>
      <c r="BB142" s="35">
        <f t="shared" si="86"/>
        <v>32.3136</v>
      </c>
      <c r="BC142" s="36">
        <f t="shared" si="87"/>
        <v>40.84344</v>
      </c>
      <c r="BD142" s="36">
        <f t="shared" si="88"/>
        <v>73.15704</v>
      </c>
      <c r="BE142" s="36" t="str">
        <f t="shared" si="89"/>
        <v>yes</v>
      </c>
      <c r="BF142" s="37">
        <f t="shared" si="90"/>
        <v>0.2376</v>
      </c>
      <c r="BG142" s="37">
        <f t="shared" si="91"/>
        <v>31.125600000000002</v>
      </c>
      <c r="BH142" s="36">
        <f t="shared" si="92"/>
        <v>40.84344</v>
      </c>
      <c r="BI142" s="38">
        <f t="shared" si="93"/>
        <v>71.96904</v>
      </c>
      <c r="BJ142" s="1" t="str">
        <f t="shared" si="94"/>
        <v>yes</v>
      </c>
      <c r="BK142" s="37">
        <f t="shared" si="97"/>
        <v>1.1879999999999988</v>
      </c>
      <c r="BL142" s="37">
        <f t="shared" si="97"/>
        <v>0</v>
      </c>
      <c r="BM142" s="7">
        <f t="shared" si="95"/>
        <v>1.1879999999999882</v>
      </c>
      <c r="BN142" s="7">
        <f t="shared" si="96"/>
        <v>0</v>
      </c>
    </row>
    <row r="143" spans="2:66" ht="18" customHeight="1">
      <c r="B143" s="4" t="s">
        <v>12</v>
      </c>
      <c r="C143" s="4" t="s">
        <v>95</v>
      </c>
      <c r="D143" s="157" t="s">
        <v>90</v>
      </c>
      <c r="E143" s="158" t="s">
        <v>85</v>
      </c>
      <c r="F143" s="79">
        <f t="shared" si="57"/>
        <v>52272</v>
      </c>
      <c r="G143" s="80">
        <f t="shared" si="58"/>
        <v>40</v>
      </c>
      <c r="H143" s="149">
        <f t="shared" si="59"/>
        <v>4</v>
      </c>
      <c r="I143" s="150">
        <f t="shared" si="60"/>
        <v>66.47634782608695</v>
      </c>
      <c r="J143" s="83">
        <f t="shared" si="61"/>
        <v>71.96904</v>
      </c>
      <c r="K143" s="84">
        <f t="shared" si="62"/>
        <v>68.16744</v>
      </c>
      <c r="L143" s="151">
        <f t="shared" si="63"/>
        <v>31.125600000000002</v>
      </c>
      <c r="M143" s="152">
        <f t="shared" si="64"/>
        <v>27.324</v>
      </c>
      <c r="N143" s="188">
        <f t="shared" si="65"/>
        <v>-0.12213740458015265</v>
      </c>
      <c r="O143" s="153">
        <f t="shared" si="66"/>
        <v>40.84344</v>
      </c>
      <c r="P143" s="154">
        <f t="shared" si="67"/>
        <v>40.84344</v>
      </c>
      <c r="Q143" s="176">
        <f t="shared" si="68"/>
        <v>0</v>
      </c>
      <c r="R143" s="100">
        <f t="shared" si="69"/>
        <v>-3.8016000000000076</v>
      </c>
      <c r="S143" s="184">
        <f t="shared" si="70"/>
        <v>-0.052822713766919875</v>
      </c>
      <c r="U143" s="208" t="s">
        <v>95</v>
      </c>
      <c r="V143" s="4" t="s">
        <v>12</v>
      </c>
      <c r="X143" s="155">
        <v>128</v>
      </c>
      <c r="Y143" s="155">
        <v>131</v>
      </c>
      <c r="Z143" s="155">
        <v>115</v>
      </c>
      <c r="AA143" s="155">
        <v>164.5</v>
      </c>
      <c r="AB143" s="155"/>
      <c r="AC143" s="155">
        <v>171.9</v>
      </c>
      <c r="AD143" s="155"/>
      <c r="AE143" s="155">
        <v>171.9</v>
      </c>
      <c r="AF143" s="155"/>
      <c r="AG143" s="32">
        <f t="shared" si="71"/>
        <v>292.5</v>
      </c>
      <c r="AH143" s="32">
        <f t="shared" si="72"/>
        <v>302.9</v>
      </c>
      <c r="AI143" s="32">
        <f t="shared" si="73"/>
        <v>286.9</v>
      </c>
      <c r="AJ143" s="33"/>
      <c r="AK143" s="33">
        <v>230000</v>
      </c>
      <c r="AL143" s="33"/>
      <c r="AM143" s="33">
        <v>220000</v>
      </c>
      <c r="AN143" s="33"/>
      <c r="AO143" s="33">
        <v>220000</v>
      </c>
      <c r="AP143" s="67">
        <f t="shared" si="74"/>
        <v>230000</v>
      </c>
      <c r="AQ143" s="34">
        <f t="shared" si="75"/>
        <v>95.65217391304348</v>
      </c>
      <c r="AR143" s="67">
        <f t="shared" si="76"/>
        <v>220000</v>
      </c>
      <c r="AS143" s="34">
        <f t="shared" si="77"/>
        <v>100</v>
      </c>
      <c r="AT143" s="28">
        <f t="shared" si="78"/>
        <v>131</v>
      </c>
      <c r="AU143" s="28">
        <f t="shared" si="79"/>
        <v>171.9</v>
      </c>
      <c r="AV143" s="28">
        <f t="shared" si="80"/>
        <v>302.9</v>
      </c>
      <c r="AW143" s="24">
        <f t="shared" si="81"/>
        <v>-16</v>
      </c>
      <c r="AX143" s="24">
        <f t="shared" si="82"/>
        <v>0</v>
      </c>
      <c r="AY143" s="24">
        <f t="shared" si="83"/>
        <v>-16</v>
      </c>
      <c r="AZ143" s="156">
        <f t="shared" si="84"/>
        <v>52272</v>
      </c>
      <c r="BA143" s="35">
        <f t="shared" si="85"/>
        <v>0.2376</v>
      </c>
      <c r="BB143" s="35">
        <f t="shared" si="86"/>
        <v>27.324</v>
      </c>
      <c r="BC143" s="36">
        <f t="shared" si="87"/>
        <v>40.84344</v>
      </c>
      <c r="BD143" s="36">
        <f t="shared" si="88"/>
        <v>68.16744</v>
      </c>
      <c r="BE143" s="36" t="str">
        <f t="shared" si="89"/>
        <v>yes</v>
      </c>
      <c r="BF143" s="37">
        <f t="shared" si="90"/>
        <v>0.2376</v>
      </c>
      <c r="BG143" s="37">
        <f t="shared" si="91"/>
        <v>31.125600000000002</v>
      </c>
      <c r="BH143" s="36">
        <f t="shared" si="92"/>
        <v>40.84344</v>
      </c>
      <c r="BI143" s="38">
        <f t="shared" si="93"/>
        <v>71.96904</v>
      </c>
      <c r="BJ143" s="1" t="str">
        <f t="shared" si="94"/>
        <v>yes</v>
      </c>
      <c r="BK143" s="37">
        <f t="shared" si="97"/>
        <v>-3.8016000000000005</v>
      </c>
      <c r="BL143" s="37">
        <f t="shared" si="97"/>
        <v>0</v>
      </c>
      <c r="BM143" s="7">
        <f t="shared" si="95"/>
        <v>-3.8016000000000076</v>
      </c>
      <c r="BN143" s="7">
        <f t="shared" si="96"/>
        <v>0</v>
      </c>
    </row>
    <row r="144" spans="3:66" ht="18" customHeight="1">
      <c r="C144" s="29"/>
      <c r="D144" s="157" t="s">
        <v>90</v>
      </c>
      <c r="E144" s="158" t="s">
        <v>107</v>
      </c>
      <c r="F144" s="79">
        <f t="shared" si="57"/>
        <v>52272</v>
      </c>
      <c r="G144" s="80">
        <f t="shared" si="58"/>
        <v>40</v>
      </c>
      <c r="H144" s="149">
        <f t="shared" si="59"/>
        <v>4</v>
      </c>
      <c r="I144" s="150">
        <f t="shared" si="60"/>
      </c>
      <c r="J144" s="83">
        <f t="shared" si="61"/>
        <v>73.15704</v>
      </c>
      <c r="K144" s="84">
        <f t="shared" si="62"/>
        <v>74.34504000000001</v>
      </c>
      <c r="L144" s="151">
        <f t="shared" si="63"/>
        <v>32.3136</v>
      </c>
      <c r="M144" s="152">
        <f t="shared" si="64"/>
        <v>33.5016</v>
      </c>
      <c r="N144" s="188">
        <f t="shared" si="65"/>
        <v>0.03676470588235303</v>
      </c>
      <c r="O144" s="153">
        <f t="shared" si="66"/>
        <v>40.84344</v>
      </c>
      <c r="P144" s="154">
        <f t="shared" si="67"/>
        <v>40.84344</v>
      </c>
      <c r="Q144" s="176">
        <f t="shared" si="68"/>
        <v>0</v>
      </c>
      <c r="R144" s="100">
        <f t="shared" si="69"/>
        <v>1.1880000000000166</v>
      </c>
      <c r="S144" s="184">
        <f t="shared" si="70"/>
        <v>0.016239038648912213</v>
      </c>
      <c r="U144" s="207" t="s">
        <v>108</v>
      </c>
      <c r="V144" s="4" t="s">
        <v>12</v>
      </c>
      <c r="X144" s="39"/>
      <c r="Y144" s="39">
        <v>136</v>
      </c>
      <c r="Z144" s="39">
        <v>141</v>
      </c>
      <c r="AA144" s="39"/>
      <c r="AB144" s="39"/>
      <c r="AC144" s="155">
        <v>171.9</v>
      </c>
      <c r="AD144" s="39"/>
      <c r="AE144" s="155">
        <v>171.9</v>
      </c>
      <c r="AF144" s="39"/>
      <c r="AG144" s="32">
        <f t="shared" si="71"/>
        <v>0</v>
      </c>
      <c r="AH144" s="32">
        <f t="shared" si="72"/>
        <v>307.9</v>
      </c>
      <c r="AI144" s="32">
        <f t="shared" si="73"/>
        <v>312.9</v>
      </c>
      <c r="AJ144" s="27"/>
      <c r="AK144" s="33"/>
      <c r="AL144" s="27"/>
      <c r="AM144" s="33">
        <v>220000</v>
      </c>
      <c r="AN144" s="27"/>
      <c r="AO144" s="33">
        <v>220000</v>
      </c>
      <c r="AP144" s="67">
        <f t="shared" si="74"/>
        <v>0</v>
      </c>
      <c r="AQ144" s="34" t="str">
        <f t="shared" si="75"/>
        <v>Not Avail.</v>
      </c>
      <c r="AR144" s="67">
        <f t="shared" si="76"/>
        <v>220000</v>
      </c>
      <c r="AS144" s="34">
        <f t="shared" si="77"/>
        <v>100</v>
      </c>
      <c r="AT144" s="28">
        <f t="shared" si="78"/>
        <v>136</v>
      </c>
      <c r="AU144" s="28">
        <f t="shared" si="79"/>
        <v>171.9</v>
      </c>
      <c r="AV144" s="28">
        <f t="shared" si="80"/>
        <v>307.9</v>
      </c>
      <c r="AW144" s="24">
        <f t="shared" si="81"/>
        <v>5</v>
      </c>
      <c r="AX144" s="24">
        <f t="shared" si="82"/>
        <v>0</v>
      </c>
      <c r="AY144" s="24">
        <f t="shared" si="83"/>
        <v>5</v>
      </c>
      <c r="AZ144" s="156">
        <f t="shared" si="84"/>
        <v>52272</v>
      </c>
      <c r="BA144" s="35">
        <f t="shared" si="85"/>
        <v>0.2376</v>
      </c>
      <c r="BB144" s="35">
        <f t="shared" si="86"/>
        <v>33.5016</v>
      </c>
      <c r="BC144" s="36">
        <f t="shared" si="87"/>
        <v>40.84344</v>
      </c>
      <c r="BD144" s="36">
        <f t="shared" si="88"/>
        <v>74.34504000000001</v>
      </c>
      <c r="BE144" s="36" t="str">
        <f t="shared" si="89"/>
        <v>yes</v>
      </c>
      <c r="BF144" s="37">
        <f t="shared" si="90"/>
        <v>0.2376</v>
      </c>
      <c r="BG144" s="37">
        <f t="shared" si="91"/>
        <v>32.3136</v>
      </c>
      <c r="BH144" s="36">
        <f t="shared" si="92"/>
        <v>40.84344</v>
      </c>
      <c r="BI144" s="38">
        <f t="shared" si="93"/>
        <v>73.15704</v>
      </c>
      <c r="BJ144" s="1" t="str">
        <f t="shared" si="94"/>
        <v>yes</v>
      </c>
      <c r="BK144" s="37">
        <f t="shared" si="97"/>
        <v>1.1880000000000024</v>
      </c>
      <c r="BL144" s="37">
        <f t="shared" si="97"/>
        <v>0</v>
      </c>
      <c r="BM144" s="7">
        <f t="shared" si="95"/>
        <v>1.1880000000000166</v>
      </c>
      <c r="BN144" s="7">
        <f t="shared" si="96"/>
        <v>0</v>
      </c>
    </row>
    <row r="145" spans="2:66" ht="18" customHeight="1">
      <c r="B145" s="4" t="s">
        <v>12</v>
      </c>
      <c r="C145" s="4" t="s">
        <v>95</v>
      </c>
      <c r="D145" s="157" t="s">
        <v>90</v>
      </c>
      <c r="E145" s="158" t="s">
        <v>11</v>
      </c>
      <c r="F145" s="79">
        <f t="shared" si="57"/>
        <v>52272</v>
      </c>
      <c r="G145" s="80">
        <f t="shared" si="58"/>
        <v>40</v>
      </c>
      <c r="H145" s="149">
        <f t="shared" si="59"/>
        <v>4</v>
      </c>
      <c r="I145" s="150">
        <f t="shared" si="60"/>
        <v>66.47634782608695</v>
      </c>
      <c r="J145" s="83">
        <f t="shared" si="61"/>
        <v>71.96904</v>
      </c>
      <c r="K145" s="84">
        <f t="shared" si="62"/>
        <v>68.16744</v>
      </c>
      <c r="L145" s="151">
        <f t="shared" si="63"/>
        <v>31.125600000000002</v>
      </c>
      <c r="M145" s="152">
        <f t="shared" si="64"/>
        <v>27.324</v>
      </c>
      <c r="N145" s="188">
        <f t="shared" si="65"/>
        <v>-0.12213740458015265</v>
      </c>
      <c r="O145" s="153">
        <f t="shared" si="66"/>
        <v>40.84344</v>
      </c>
      <c r="P145" s="154">
        <f t="shared" si="67"/>
        <v>40.84344</v>
      </c>
      <c r="Q145" s="176">
        <f t="shared" si="68"/>
        <v>0</v>
      </c>
      <c r="R145" s="100">
        <f t="shared" si="69"/>
        <v>-3.8016000000000076</v>
      </c>
      <c r="S145" s="184">
        <f t="shared" si="70"/>
        <v>-0.052822713766919875</v>
      </c>
      <c r="U145" s="208" t="s">
        <v>95</v>
      </c>
      <c r="V145" s="4" t="s">
        <v>12</v>
      </c>
      <c r="X145" s="155">
        <v>128</v>
      </c>
      <c r="Y145" s="155">
        <v>131</v>
      </c>
      <c r="Z145" s="155">
        <v>115</v>
      </c>
      <c r="AA145" s="155">
        <v>164.5</v>
      </c>
      <c r="AB145" s="155"/>
      <c r="AC145" s="155">
        <v>171.9</v>
      </c>
      <c r="AD145" s="155"/>
      <c r="AE145" s="155">
        <v>171.9</v>
      </c>
      <c r="AF145" s="155"/>
      <c r="AG145" s="32">
        <f t="shared" si="71"/>
        <v>292.5</v>
      </c>
      <c r="AH145" s="32">
        <f t="shared" si="72"/>
        <v>302.9</v>
      </c>
      <c r="AI145" s="32">
        <f t="shared" si="73"/>
        <v>286.9</v>
      </c>
      <c r="AJ145" s="33"/>
      <c r="AK145" s="33">
        <v>230000</v>
      </c>
      <c r="AL145" s="33"/>
      <c r="AM145" s="33">
        <v>220000</v>
      </c>
      <c r="AN145" s="33"/>
      <c r="AO145" s="33">
        <v>220000</v>
      </c>
      <c r="AP145" s="67">
        <f t="shared" si="74"/>
        <v>230000</v>
      </c>
      <c r="AQ145" s="34">
        <f t="shared" si="75"/>
        <v>95.65217391304348</v>
      </c>
      <c r="AR145" s="67">
        <f t="shared" si="76"/>
        <v>220000</v>
      </c>
      <c r="AS145" s="34">
        <f t="shared" si="77"/>
        <v>100</v>
      </c>
      <c r="AT145" s="28">
        <f t="shared" si="78"/>
        <v>131</v>
      </c>
      <c r="AU145" s="28">
        <f t="shared" si="79"/>
        <v>171.9</v>
      </c>
      <c r="AV145" s="28">
        <f t="shared" si="80"/>
        <v>302.9</v>
      </c>
      <c r="AW145" s="24">
        <f t="shared" si="81"/>
        <v>-16</v>
      </c>
      <c r="AX145" s="24">
        <f t="shared" si="82"/>
        <v>0</v>
      </c>
      <c r="AY145" s="24">
        <f t="shared" si="83"/>
        <v>-16</v>
      </c>
      <c r="AZ145" s="156">
        <f t="shared" si="84"/>
        <v>52272</v>
      </c>
      <c r="BA145" s="35">
        <f t="shared" si="85"/>
        <v>0.2376</v>
      </c>
      <c r="BB145" s="35">
        <f t="shared" si="86"/>
        <v>27.324</v>
      </c>
      <c r="BC145" s="36">
        <f t="shared" si="87"/>
        <v>40.84344</v>
      </c>
      <c r="BD145" s="36">
        <f t="shared" si="88"/>
        <v>68.16744</v>
      </c>
      <c r="BE145" s="36" t="str">
        <f t="shared" si="89"/>
        <v>yes</v>
      </c>
      <c r="BF145" s="37">
        <f t="shared" si="90"/>
        <v>0.2376</v>
      </c>
      <c r="BG145" s="37">
        <f t="shared" si="91"/>
        <v>31.125600000000002</v>
      </c>
      <c r="BH145" s="36">
        <f t="shared" si="92"/>
        <v>40.84344</v>
      </c>
      <c r="BI145" s="38">
        <f t="shared" si="93"/>
        <v>71.96904</v>
      </c>
      <c r="BJ145" s="1" t="str">
        <f t="shared" si="94"/>
        <v>yes</v>
      </c>
      <c r="BK145" s="37">
        <f t="shared" si="97"/>
        <v>-3.8016000000000005</v>
      </c>
      <c r="BL145" s="37">
        <f t="shared" si="97"/>
        <v>0</v>
      </c>
      <c r="BM145" s="7">
        <f t="shared" si="95"/>
        <v>-3.8016000000000076</v>
      </c>
      <c r="BN145" s="7">
        <f t="shared" si="96"/>
        <v>0</v>
      </c>
    </row>
    <row r="146" spans="2:66" ht="18" customHeight="1">
      <c r="B146" s="4" t="s">
        <v>12</v>
      </c>
      <c r="C146" s="4" t="s">
        <v>95</v>
      </c>
      <c r="D146" s="157" t="s">
        <v>90</v>
      </c>
      <c r="E146" s="158" t="s">
        <v>200</v>
      </c>
      <c r="F146" s="79">
        <f t="shared" si="57"/>
        <v>52272</v>
      </c>
      <c r="G146" s="80">
        <f t="shared" si="58"/>
        <v>40</v>
      </c>
      <c r="H146" s="149">
        <f t="shared" si="59"/>
        <v>4</v>
      </c>
      <c r="I146" s="150">
        <f t="shared" si="60"/>
        <v>66.47634782608695</v>
      </c>
      <c r="J146" s="83">
        <f t="shared" si="61"/>
        <v>73.15704</v>
      </c>
      <c r="K146" s="84">
        <f t="shared" si="62"/>
        <v>74.34504000000001</v>
      </c>
      <c r="L146" s="151">
        <f t="shared" si="63"/>
        <v>32.3136</v>
      </c>
      <c r="M146" s="152">
        <f t="shared" si="64"/>
        <v>33.5016</v>
      </c>
      <c r="N146" s="188">
        <f t="shared" si="65"/>
        <v>0.03676470588235303</v>
      </c>
      <c r="O146" s="153">
        <f t="shared" si="66"/>
        <v>40.84344</v>
      </c>
      <c r="P146" s="154">
        <f t="shared" si="67"/>
        <v>40.84344</v>
      </c>
      <c r="Q146" s="176">
        <f t="shared" si="68"/>
        <v>0</v>
      </c>
      <c r="R146" s="100">
        <f t="shared" si="69"/>
        <v>1.1880000000000166</v>
      </c>
      <c r="S146" s="184">
        <f t="shared" si="70"/>
        <v>0.016239038648912213</v>
      </c>
      <c r="U146" s="208" t="s">
        <v>95</v>
      </c>
      <c r="V146" s="4" t="s">
        <v>12</v>
      </c>
      <c r="X146" s="155">
        <v>128</v>
      </c>
      <c r="Y146" s="155">
        <v>136</v>
      </c>
      <c r="Z146" s="155">
        <v>141</v>
      </c>
      <c r="AA146" s="155">
        <v>164.5</v>
      </c>
      <c r="AB146" s="155"/>
      <c r="AC146" s="155">
        <v>171.9</v>
      </c>
      <c r="AD146" s="155"/>
      <c r="AE146" s="155">
        <v>171.9</v>
      </c>
      <c r="AF146" s="155"/>
      <c r="AG146" s="32">
        <f t="shared" si="71"/>
        <v>292.5</v>
      </c>
      <c r="AH146" s="32">
        <f t="shared" si="72"/>
        <v>307.9</v>
      </c>
      <c r="AI146" s="32">
        <f t="shared" si="73"/>
        <v>312.9</v>
      </c>
      <c r="AJ146" s="33"/>
      <c r="AK146" s="33">
        <v>230000</v>
      </c>
      <c r="AL146" s="33"/>
      <c r="AM146" s="33">
        <v>220000</v>
      </c>
      <c r="AN146" s="33"/>
      <c r="AO146" s="33">
        <v>220000</v>
      </c>
      <c r="AP146" s="67">
        <f t="shared" si="74"/>
        <v>230000</v>
      </c>
      <c r="AQ146" s="34">
        <f t="shared" si="75"/>
        <v>95.65217391304348</v>
      </c>
      <c r="AR146" s="67">
        <f t="shared" si="76"/>
        <v>220000</v>
      </c>
      <c r="AS146" s="34">
        <f t="shared" si="77"/>
        <v>100</v>
      </c>
      <c r="AT146" s="28">
        <f t="shared" si="78"/>
        <v>136</v>
      </c>
      <c r="AU146" s="28">
        <f t="shared" si="79"/>
        <v>171.9</v>
      </c>
      <c r="AV146" s="28">
        <f t="shared" si="80"/>
        <v>307.9</v>
      </c>
      <c r="AW146" s="24">
        <f t="shared" si="81"/>
        <v>5</v>
      </c>
      <c r="AX146" s="24">
        <f t="shared" si="82"/>
        <v>0</v>
      </c>
      <c r="AY146" s="24">
        <f t="shared" si="83"/>
        <v>5</v>
      </c>
      <c r="AZ146" s="156">
        <f t="shared" si="84"/>
        <v>52272</v>
      </c>
      <c r="BA146" s="35">
        <f t="shared" si="85"/>
        <v>0.2376</v>
      </c>
      <c r="BB146" s="35">
        <f t="shared" si="86"/>
        <v>33.5016</v>
      </c>
      <c r="BC146" s="36">
        <f t="shared" si="87"/>
        <v>40.84344</v>
      </c>
      <c r="BD146" s="36">
        <f t="shared" si="88"/>
        <v>74.34504000000001</v>
      </c>
      <c r="BE146" s="36" t="str">
        <f t="shared" si="89"/>
        <v>yes</v>
      </c>
      <c r="BF146" s="37">
        <f t="shared" si="90"/>
        <v>0.2376</v>
      </c>
      <c r="BG146" s="37">
        <f t="shared" si="91"/>
        <v>32.3136</v>
      </c>
      <c r="BH146" s="36">
        <f t="shared" si="92"/>
        <v>40.84344</v>
      </c>
      <c r="BI146" s="38">
        <f t="shared" si="93"/>
        <v>73.15704</v>
      </c>
      <c r="BJ146" s="1" t="str">
        <f t="shared" si="94"/>
        <v>yes</v>
      </c>
      <c r="BK146" s="37">
        <f t="shared" si="97"/>
        <v>1.1880000000000024</v>
      </c>
      <c r="BL146" s="37">
        <f t="shared" si="97"/>
        <v>0</v>
      </c>
      <c r="BM146" s="7">
        <f t="shared" si="95"/>
        <v>1.1880000000000166</v>
      </c>
      <c r="BN146" s="7">
        <f t="shared" si="96"/>
        <v>0</v>
      </c>
    </row>
    <row r="147" spans="3:65" s="4" customFormat="1" ht="18" customHeight="1">
      <c r="C147" s="41"/>
      <c r="D147" s="41"/>
      <c r="E147" s="41"/>
      <c r="F147" s="75"/>
      <c r="G147" s="41"/>
      <c r="H147" s="41"/>
      <c r="I147" s="42"/>
      <c r="J147" s="13"/>
      <c r="K147" s="13"/>
      <c r="L147" s="44"/>
      <c r="M147" s="44"/>
      <c r="N147" s="179"/>
      <c r="O147" s="45"/>
      <c r="P147" s="46"/>
      <c r="Q147" s="179"/>
      <c r="R147" s="43"/>
      <c r="S147" s="179"/>
      <c r="T147" s="3"/>
      <c r="U147" s="41"/>
      <c r="W147" s="3"/>
      <c r="X147" s="40"/>
      <c r="Y147" s="40"/>
      <c r="Z147" s="40"/>
      <c r="AA147" s="40"/>
      <c r="AB147" s="40"/>
      <c r="AC147" s="40"/>
      <c r="AD147" s="40"/>
      <c r="AE147" s="40"/>
      <c r="AF147" s="40"/>
      <c r="AG147" s="47"/>
      <c r="AH147" s="47"/>
      <c r="AI147" s="47"/>
      <c r="AJ147" s="12"/>
      <c r="AK147" s="12"/>
      <c r="AL147" s="12"/>
      <c r="AM147" s="12"/>
      <c r="AN147" s="12"/>
      <c r="AO147" s="12"/>
      <c r="AP147" s="65"/>
      <c r="AQ147" s="12"/>
      <c r="AR147" s="65"/>
      <c r="AS147" s="12"/>
      <c r="AT147" s="13"/>
      <c r="AU147" s="13"/>
      <c r="AV147" s="13"/>
      <c r="AW147" s="13"/>
      <c r="AX147" s="13"/>
      <c r="AY147" s="3"/>
      <c r="AZ147" s="3"/>
      <c r="BA147" s="12"/>
      <c r="BB147" s="12"/>
      <c r="BC147" s="12"/>
      <c r="BD147" s="12"/>
      <c r="BE147" s="12"/>
      <c r="BH147" s="12"/>
      <c r="BM147" s="14"/>
    </row>
    <row r="148" spans="4:65" s="4" customFormat="1" ht="18" customHeight="1">
      <c r="D148" s="4" t="s">
        <v>9</v>
      </c>
      <c r="F148" s="76"/>
      <c r="G148" s="48"/>
      <c r="H148" s="49"/>
      <c r="I148" s="42"/>
      <c r="J148" s="13"/>
      <c r="K148" s="13"/>
      <c r="L148" s="44"/>
      <c r="M148" s="44"/>
      <c r="N148" s="179"/>
      <c r="O148" s="45"/>
      <c r="P148" s="46"/>
      <c r="Q148" s="178"/>
      <c r="R148" s="43"/>
      <c r="S148" s="179"/>
      <c r="T148" s="3"/>
      <c r="W148" s="3"/>
      <c r="X148" s="12"/>
      <c r="Y148" s="12"/>
      <c r="Z148" s="12"/>
      <c r="AA148" s="12"/>
      <c r="AB148" s="12"/>
      <c r="AC148" s="12"/>
      <c r="AD148" s="12"/>
      <c r="AE148" s="12"/>
      <c r="AF148" s="12"/>
      <c r="AG148" s="13"/>
      <c r="AH148" s="13"/>
      <c r="AI148" s="13"/>
      <c r="AJ148" s="12"/>
      <c r="AK148" s="12"/>
      <c r="AL148" s="12"/>
      <c r="AM148" s="12"/>
      <c r="AN148" s="12"/>
      <c r="AO148" s="12"/>
      <c r="AP148" s="65"/>
      <c r="AQ148" s="12"/>
      <c r="AR148" s="65"/>
      <c r="AS148" s="12"/>
      <c r="AT148" s="13"/>
      <c r="AU148" s="13"/>
      <c r="AV148" s="13"/>
      <c r="AW148" s="13"/>
      <c r="AX148" s="13"/>
      <c r="AY148" s="3"/>
      <c r="AZ148" s="3"/>
      <c r="BA148" s="12"/>
      <c r="BB148" s="12"/>
      <c r="BC148" s="12"/>
      <c r="BD148" s="12"/>
      <c r="BE148" s="12"/>
      <c r="BH148" s="12"/>
      <c r="BM148" s="14"/>
    </row>
    <row r="149" spans="4:65" s="4" customFormat="1" ht="18" customHeight="1">
      <c r="D149" s="4" t="s">
        <v>168</v>
      </c>
      <c r="F149" s="76"/>
      <c r="G149" s="48"/>
      <c r="H149" s="49"/>
      <c r="I149" s="42"/>
      <c r="J149" s="13"/>
      <c r="K149" s="13"/>
      <c r="L149" s="44"/>
      <c r="M149" s="44"/>
      <c r="N149" s="179"/>
      <c r="O149" s="45"/>
      <c r="P149" s="46"/>
      <c r="Q149" s="179"/>
      <c r="R149" s="43"/>
      <c r="S149" s="179"/>
      <c r="T149" s="3"/>
      <c r="W149" s="3"/>
      <c r="X149" s="12"/>
      <c r="Y149" s="12"/>
      <c r="Z149" s="12"/>
      <c r="AA149" s="12"/>
      <c r="AB149" s="12"/>
      <c r="AC149" s="12"/>
      <c r="AD149" s="12"/>
      <c r="AE149" s="12"/>
      <c r="AF149" s="12"/>
      <c r="AG149" s="13"/>
      <c r="AH149" s="13"/>
      <c r="AI149" s="13"/>
      <c r="AJ149" s="12"/>
      <c r="AK149" s="12"/>
      <c r="AL149" s="12"/>
      <c r="AM149" s="12"/>
      <c r="AN149" s="12"/>
      <c r="AO149" s="12"/>
      <c r="AP149" s="65"/>
      <c r="AQ149" s="12"/>
      <c r="AR149" s="65"/>
      <c r="AS149" s="12"/>
      <c r="AT149" s="13"/>
      <c r="AU149" s="13"/>
      <c r="AV149" s="13"/>
      <c r="AW149" s="13"/>
      <c r="AX149" s="13"/>
      <c r="AY149" s="3"/>
      <c r="AZ149" s="3"/>
      <c r="BA149" s="12"/>
      <c r="BB149" s="12"/>
      <c r="BC149" s="12"/>
      <c r="BD149" s="12"/>
      <c r="BE149" s="12"/>
      <c r="BH149" s="12"/>
      <c r="BM149" s="14"/>
    </row>
    <row r="150" spans="4:65" s="4" customFormat="1" ht="18" customHeight="1">
      <c r="D150" s="4" t="s">
        <v>91</v>
      </c>
      <c r="F150" s="76"/>
      <c r="G150" s="48"/>
      <c r="H150" s="49"/>
      <c r="I150" s="42"/>
      <c r="J150" s="13"/>
      <c r="K150" s="13"/>
      <c r="L150" s="44"/>
      <c r="M150" s="44"/>
      <c r="N150" s="179"/>
      <c r="O150" s="45"/>
      <c r="P150" s="46"/>
      <c r="Q150" s="179"/>
      <c r="R150" s="43"/>
      <c r="S150" s="179"/>
      <c r="T150" s="3"/>
      <c r="W150" s="3"/>
      <c r="X150" s="12"/>
      <c r="Y150" s="12"/>
      <c r="Z150" s="12"/>
      <c r="AA150" s="12"/>
      <c r="AB150" s="12"/>
      <c r="AC150" s="12"/>
      <c r="AD150" s="12"/>
      <c r="AE150" s="12"/>
      <c r="AF150" s="12"/>
      <c r="AG150" s="13"/>
      <c r="AH150" s="13"/>
      <c r="AI150" s="13"/>
      <c r="AJ150" s="12"/>
      <c r="AK150" s="12"/>
      <c r="AL150" s="12"/>
      <c r="AM150" s="12"/>
      <c r="AN150" s="12"/>
      <c r="AO150" s="12"/>
      <c r="AP150" s="65"/>
      <c r="AQ150" s="12"/>
      <c r="AR150" s="65"/>
      <c r="AS150" s="12"/>
      <c r="AT150" s="13"/>
      <c r="AU150" s="13"/>
      <c r="AV150" s="13"/>
      <c r="AW150" s="13"/>
      <c r="AX150" s="13"/>
      <c r="AY150" s="3"/>
      <c r="AZ150" s="3"/>
      <c r="BA150" s="12"/>
      <c r="BB150" s="12"/>
      <c r="BC150" s="12"/>
      <c r="BD150" s="12"/>
      <c r="BE150" s="12"/>
      <c r="BH150" s="12"/>
      <c r="BM150" s="14"/>
    </row>
    <row r="151" spans="4:65" s="4" customFormat="1" ht="13.5" customHeight="1">
      <c r="D151" s="4" t="s">
        <v>113</v>
      </c>
      <c r="F151" s="76"/>
      <c r="G151" s="48"/>
      <c r="H151" s="49"/>
      <c r="I151" s="42"/>
      <c r="J151" s="13"/>
      <c r="K151" s="13"/>
      <c r="L151" s="44"/>
      <c r="M151" s="44"/>
      <c r="N151" s="179"/>
      <c r="O151" s="45"/>
      <c r="P151" s="46"/>
      <c r="Q151" s="179"/>
      <c r="R151" s="43"/>
      <c r="S151" s="179"/>
      <c r="T151" s="3"/>
      <c r="W151" s="3"/>
      <c r="X151" s="12"/>
      <c r="Y151" s="12"/>
      <c r="Z151" s="12"/>
      <c r="AA151" s="12"/>
      <c r="AB151" s="12"/>
      <c r="AC151" s="12"/>
      <c r="AD151" s="12"/>
      <c r="AE151" s="12"/>
      <c r="AF151" s="12"/>
      <c r="AG151" s="13"/>
      <c r="AH151" s="13"/>
      <c r="AI151" s="13"/>
      <c r="AJ151" s="12"/>
      <c r="AK151" s="12"/>
      <c r="AL151" s="12"/>
      <c r="AM151" s="12"/>
      <c r="AN151" s="12"/>
      <c r="AO151" s="12"/>
      <c r="AP151" s="65"/>
      <c r="AQ151" s="12"/>
      <c r="AR151" s="65"/>
      <c r="AS151" s="12"/>
      <c r="AT151" s="13"/>
      <c r="AU151" s="13"/>
      <c r="AV151" s="13"/>
      <c r="AW151" s="13"/>
      <c r="AX151" s="13"/>
      <c r="AY151" s="3"/>
      <c r="AZ151" s="3"/>
      <c r="BA151" s="12"/>
      <c r="BB151" s="12"/>
      <c r="BC151" s="12"/>
      <c r="BD151" s="12"/>
      <c r="BE151" s="12"/>
      <c r="BH151" s="12"/>
      <c r="BM151" s="14"/>
    </row>
    <row r="152" spans="4:65" s="4" customFormat="1" ht="15.75" customHeight="1">
      <c r="D152" s="222" t="s">
        <v>202</v>
      </c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3"/>
      <c r="W152" s="3"/>
      <c r="X152" s="12"/>
      <c r="Y152" s="12"/>
      <c r="Z152" s="12"/>
      <c r="AA152" s="12"/>
      <c r="AB152" s="12"/>
      <c r="AC152" s="12"/>
      <c r="AD152" s="12"/>
      <c r="AE152" s="12"/>
      <c r="AF152" s="12"/>
      <c r="AG152" s="13"/>
      <c r="AH152" s="13"/>
      <c r="AI152" s="13"/>
      <c r="AJ152" s="12"/>
      <c r="AK152" s="12"/>
      <c r="AL152" s="12"/>
      <c r="AM152" s="12"/>
      <c r="AN152" s="12"/>
      <c r="AO152" s="12"/>
      <c r="AP152" s="65"/>
      <c r="AQ152" s="12"/>
      <c r="AR152" s="65"/>
      <c r="AS152" s="12"/>
      <c r="AT152" s="13"/>
      <c r="AU152" s="13"/>
      <c r="AV152" s="13"/>
      <c r="AW152" s="13"/>
      <c r="AX152" s="13"/>
      <c r="AY152" s="3"/>
      <c r="AZ152" s="3"/>
      <c r="BA152" s="12"/>
      <c r="BB152" s="12"/>
      <c r="BC152" s="12"/>
      <c r="BD152" s="12"/>
      <c r="BE152" s="12"/>
      <c r="BH152" s="12"/>
      <c r="BM152" s="14"/>
    </row>
    <row r="153" spans="4:65" s="4" customFormat="1" ht="15.75" customHeight="1">
      <c r="D153" s="202"/>
      <c r="E153" s="202"/>
      <c r="F153" s="202"/>
      <c r="G153" s="202"/>
      <c r="H153" s="202"/>
      <c r="I153" s="202"/>
      <c r="J153" s="202"/>
      <c r="K153" s="202"/>
      <c r="L153" s="202"/>
      <c r="M153" s="202"/>
      <c r="N153" s="202"/>
      <c r="O153" s="202"/>
      <c r="P153" s="202"/>
      <c r="Q153" s="202"/>
      <c r="R153" s="202"/>
      <c r="S153" s="202"/>
      <c r="T153" s="3"/>
      <c r="W153" s="3"/>
      <c r="X153" s="12"/>
      <c r="Y153" s="12"/>
      <c r="Z153" s="12"/>
      <c r="AA153" s="12"/>
      <c r="AB153" s="12"/>
      <c r="AC153" s="12"/>
      <c r="AD153" s="12"/>
      <c r="AE153" s="12"/>
      <c r="AF153" s="12"/>
      <c r="AG153" s="13"/>
      <c r="AH153" s="13"/>
      <c r="AI153" s="13"/>
      <c r="AJ153" s="12"/>
      <c r="AK153" s="12"/>
      <c r="AL153" s="12"/>
      <c r="AM153" s="12"/>
      <c r="AN153" s="12"/>
      <c r="AO153" s="12"/>
      <c r="AP153" s="65"/>
      <c r="AQ153" s="12"/>
      <c r="AR153" s="65"/>
      <c r="AS153" s="12"/>
      <c r="AT153" s="13"/>
      <c r="AU153" s="13"/>
      <c r="AV153" s="13"/>
      <c r="AW153" s="13"/>
      <c r="AX153" s="13"/>
      <c r="AY153" s="3"/>
      <c r="AZ153" s="3"/>
      <c r="BA153" s="12"/>
      <c r="BB153" s="12"/>
      <c r="BC153" s="12"/>
      <c r="BD153" s="12"/>
      <c r="BE153" s="12"/>
      <c r="BH153" s="12"/>
      <c r="BM153" s="14"/>
    </row>
    <row r="154" spans="6:19" ht="21" customHeight="1">
      <c r="F154" s="77"/>
      <c r="H154" s="197"/>
      <c r="N154" s="180"/>
      <c r="Q154" s="180"/>
      <c r="S154" s="180"/>
    </row>
    <row r="155" spans="6:19" ht="15.75" customHeight="1">
      <c r="F155" s="77"/>
      <c r="H155" s="197"/>
      <c r="N155" s="180"/>
      <c r="Q155" s="180"/>
      <c r="S155" s="180"/>
    </row>
    <row r="156" spans="6:19" ht="12.75">
      <c r="F156" s="77"/>
      <c r="H156" s="197"/>
      <c r="N156" s="180"/>
      <c r="Q156" s="180"/>
      <c r="S156" s="180"/>
    </row>
    <row r="157" spans="6:19" ht="12.75">
      <c r="F157" s="77"/>
      <c r="H157" s="197"/>
      <c r="N157" s="180"/>
      <c r="Q157" s="180"/>
      <c r="S157" s="180"/>
    </row>
    <row r="158" spans="6:19" ht="12.75">
      <c r="F158" s="77"/>
      <c r="H158" s="197"/>
      <c r="N158" s="180"/>
      <c r="Q158" s="180"/>
      <c r="S158" s="180"/>
    </row>
    <row r="159" spans="6:19" ht="12.75">
      <c r="F159" s="77"/>
      <c r="H159" s="197"/>
      <c r="N159" s="180"/>
      <c r="Q159" s="180"/>
      <c r="S159" s="180"/>
    </row>
    <row r="160" spans="6:19" ht="12.75">
      <c r="F160" s="77"/>
      <c r="H160" s="197"/>
      <c r="N160" s="180"/>
      <c r="Q160" s="180"/>
      <c r="S160" s="180"/>
    </row>
    <row r="161" spans="6:19" ht="13.5" customHeight="1">
      <c r="F161" s="77"/>
      <c r="H161" s="197"/>
      <c r="N161" s="180"/>
      <c r="Q161" s="180"/>
      <c r="S161" s="180"/>
    </row>
    <row r="162" spans="6:19" ht="13.5" customHeight="1">
      <c r="F162" s="77"/>
      <c r="H162" s="197"/>
      <c r="N162" s="180"/>
      <c r="Q162" s="180"/>
      <c r="S162" s="180"/>
    </row>
    <row r="163" spans="6:19" ht="13.5" customHeight="1">
      <c r="F163" s="77"/>
      <c r="H163" s="197"/>
      <c r="N163" s="180"/>
      <c r="Q163" s="180"/>
      <c r="S163" s="180"/>
    </row>
    <row r="164" spans="6:19" ht="13.5" customHeight="1">
      <c r="F164" s="77"/>
      <c r="H164" s="197"/>
      <c r="N164" s="180"/>
      <c r="Q164" s="180"/>
      <c r="S164" s="180"/>
    </row>
    <row r="165" spans="6:19" ht="13.5" customHeight="1">
      <c r="F165" s="77"/>
      <c r="H165" s="197"/>
      <c r="N165" s="180"/>
      <c r="Q165" s="180"/>
      <c r="S165" s="180"/>
    </row>
    <row r="166" spans="6:19" ht="13.5" customHeight="1">
      <c r="F166" s="77"/>
      <c r="H166" s="197"/>
      <c r="N166" s="180"/>
      <c r="Q166" s="180"/>
      <c r="S166" s="180"/>
    </row>
    <row r="167" spans="6:19" ht="13.5" customHeight="1">
      <c r="F167" s="77"/>
      <c r="H167" s="197"/>
      <c r="N167" s="180"/>
      <c r="Q167" s="180"/>
      <c r="S167" s="180"/>
    </row>
    <row r="168" spans="6:19" ht="13.5" customHeight="1">
      <c r="F168" s="77"/>
      <c r="H168" s="197"/>
      <c r="N168" s="180"/>
      <c r="Q168" s="180"/>
      <c r="S168" s="180"/>
    </row>
    <row r="169" spans="6:19" ht="13.5" customHeight="1">
      <c r="F169" s="77"/>
      <c r="H169" s="197"/>
      <c r="N169" s="180"/>
      <c r="Q169" s="180"/>
      <c r="S169" s="180"/>
    </row>
    <row r="170" spans="6:19" ht="13.5" customHeight="1">
      <c r="F170" s="77"/>
      <c r="H170" s="197"/>
      <c r="N170" s="180"/>
      <c r="Q170" s="180"/>
      <c r="S170" s="180"/>
    </row>
    <row r="171" spans="6:19" ht="13.5" customHeight="1">
      <c r="F171" s="77"/>
      <c r="H171" s="197"/>
      <c r="N171" s="180"/>
      <c r="Q171" s="180"/>
      <c r="S171" s="180"/>
    </row>
    <row r="172" spans="6:19" ht="13.5" customHeight="1">
      <c r="F172" s="77"/>
      <c r="H172" s="197"/>
      <c r="N172" s="180"/>
      <c r="Q172" s="180"/>
      <c r="S172" s="180"/>
    </row>
    <row r="173" spans="6:19" ht="13.5" customHeight="1">
      <c r="F173" s="77"/>
      <c r="H173" s="197"/>
      <c r="N173" s="180"/>
      <c r="Q173" s="180"/>
      <c r="S173" s="180"/>
    </row>
    <row r="174" spans="6:19" ht="13.5" customHeight="1">
      <c r="F174" s="77"/>
      <c r="H174" s="197"/>
      <c r="N174" s="180"/>
      <c r="Q174" s="180"/>
      <c r="S174" s="180"/>
    </row>
    <row r="175" spans="6:19" s="1" customFormat="1" ht="13.5" customHeight="1">
      <c r="F175" s="73"/>
      <c r="G175" s="15"/>
      <c r="H175" s="16"/>
      <c r="I175" s="17"/>
      <c r="J175" s="6"/>
      <c r="K175" s="6"/>
      <c r="L175" s="19"/>
      <c r="M175" s="19"/>
      <c r="N175" s="172"/>
      <c r="O175" s="20"/>
      <c r="P175" s="21"/>
      <c r="Q175" s="172"/>
      <c r="R175" s="18"/>
      <c r="S175" s="172"/>
    </row>
    <row r="176" spans="6:19" s="1" customFormat="1" ht="13.5" customHeight="1">
      <c r="F176" s="73"/>
      <c r="G176" s="15"/>
      <c r="H176" s="16"/>
      <c r="I176" s="17"/>
      <c r="J176" s="6"/>
      <c r="K176" s="6"/>
      <c r="L176" s="19"/>
      <c r="M176" s="19"/>
      <c r="N176" s="172"/>
      <c r="O176" s="20"/>
      <c r="P176" s="21"/>
      <c r="Q176" s="172"/>
      <c r="R176" s="18"/>
      <c r="S176" s="172"/>
    </row>
    <row r="177" spans="2:65" ht="13.5" customHeight="1">
      <c r="B177" s="1"/>
      <c r="C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H177" s="1"/>
      <c r="BM177" s="1"/>
    </row>
    <row r="178" spans="2:65" ht="13.5" customHeight="1">
      <c r="B178" s="1"/>
      <c r="C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H178" s="1"/>
      <c r="BM178" s="1"/>
    </row>
    <row r="179" spans="2:65" ht="13.5" customHeight="1">
      <c r="B179" s="1"/>
      <c r="C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H179" s="1"/>
      <c r="BM179" s="1"/>
    </row>
    <row r="180" spans="2:65" ht="13.5" customHeight="1">
      <c r="B180" s="1"/>
      <c r="C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H180" s="1"/>
      <c r="BM180" s="1"/>
    </row>
    <row r="181" spans="2:65" ht="13.5" customHeight="1">
      <c r="B181" s="1"/>
      <c r="C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H181" s="1"/>
      <c r="BM181" s="1"/>
    </row>
    <row r="182" spans="2:65" ht="13.5" customHeight="1">
      <c r="B182" s="1"/>
      <c r="C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H182" s="1"/>
      <c r="BM182" s="1"/>
    </row>
    <row r="183" spans="2:65" ht="13.5" customHeight="1">
      <c r="B183" s="1"/>
      <c r="C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H183" s="1"/>
      <c r="BM183" s="1"/>
    </row>
    <row r="184" spans="2:65" ht="13.5" customHeight="1">
      <c r="B184" s="1"/>
      <c r="C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H184" s="1"/>
      <c r="BM184" s="1"/>
    </row>
    <row r="185" spans="2:65" ht="13.5" customHeight="1">
      <c r="B185" s="1"/>
      <c r="C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H185" s="1"/>
      <c r="BM185" s="1"/>
    </row>
    <row r="186" spans="2:65" ht="13.5" customHeight="1">
      <c r="B186" s="1"/>
      <c r="C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H186" s="1"/>
      <c r="BM186" s="1"/>
    </row>
    <row r="187" spans="2:65" ht="13.5" customHeight="1">
      <c r="B187" s="1"/>
      <c r="C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H187" s="1"/>
      <c r="BM187" s="1"/>
    </row>
    <row r="188" spans="2:65" ht="13.5" customHeight="1">
      <c r="B188" s="1"/>
      <c r="C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H188" s="1"/>
      <c r="BM188" s="1"/>
    </row>
    <row r="189" spans="2:65" ht="13.5" customHeight="1">
      <c r="B189" s="1"/>
      <c r="C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H189" s="1"/>
      <c r="BM189" s="1"/>
    </row>
    <row r="190" spans="2:65" ht="13.5" customHeight="1">
      <c r="B190" s="1"/>
      <c r="C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H190" s="1"/>
      <c r="BM190" s="1"/>
    </row>
    <row r="191" spans="2:65" ht="13.5" customHeight="1">
      <c r="B191" s="1"/>
      <c r="C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H191" s="1"/>
      <c r="BM191" s="1"/>
    </row>
    <row r="192" spans="2:65" ht="13.5" customHeight="1">
      <c r="B192" s="1"/>
      <c r="C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H192" s="1"/>
      <c r="BM192" s="1"/>
    </row>
    <row r="193" spans="2:65" ht="13.5" customHeight="1">
      <c r="B193" s="1"/>
      <c r="C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H193" s="1"/>
      <c r="BM193" s="1"/>
    </row>
    <row r="194" spans="2:65" ht="13.5" customHeight="1">
      <c r="B194" s="1"/>
      <c r="C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H194" s="1"/>
      <c r="BM194" s="1"/>
    </row>
    <row r="195" spans="2:65" ht="13.5" customHeight="1">
      <c r="B195" s="1"/>
      <c r="C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H195" s="1"/>
      <c r="BM195" s="1"/>
    </row>
    <row r="196" spans="2:65" ht="13.5" customHeight="1">
      <c r="B196" s="1"/>
      <c r="C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H196" s="1"/>
      <c r="BM196" s="1"/>
    </row>
    <row r="197" spans="2:65" ht="13.5" customHeight="1">
      <c r="B197" s="1"/>
      <c r="C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H197" s="1"/>
      <c r="BM197" s="1"/>
    </row>
    <row r="198" spans="2:65" ht="13.5" customHeight="1">
      <c r="B198" s="1"/>
      <c r="C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H198" s="1"/>
      <c r="BM198" s="1"/>
    </row>
    <row r="199" spans="2:65" ht="13.5" customHeight="1">
      <c r="B199" s="1"/>
      <c r="C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H199" s="1"/>
      <c r="BM199" s="1"/>
    </row>
    <row r="200" spans="2:65" ht="13.5" customHeight="1">
      <c r="B200" s="1"/>
      <c r="C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H200" s="1"/>
      <c r="BM200" s="1"/>
    </row>
    <row r="201" spans="2:65" ht="13.5" customHeight="1">
      <c r="B201" s="1"/>
      <c r="C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H201" s="1"/>
      <c r="BM201" s="1"/>
    </row>
    <row r="202" spans="2:65" ht="13.5" customHeight="1">
      <c r="B202" s="1"/>
      <c r="C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H202" s="1"/>
      <c r="BM202" s="1"/>
    </row>
    <row r="203" spans="2:65" ht="13.5" customHeight="1">
      <c r="B203" s="1"/>
      <c r="C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H203" s="1"/>
      <c r="BM203" s="1"/>
    </row>
    <row r="204" spans="2:65" ht="13.5" customHeight="1">
      <c r="B204" s="1"/>
      <c r="C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H204" s="1"/>
      <c r="BM204" s="1"/>
    </row>
    <row r="205" spans="2:65" ht="13.5" customHeight="1">
      <c r="B205" s="1"/>
      <c r="C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H205" s="1"/>
      <c r="BM205" s="1"/>
    </row>
    <row r="206" spans="2:65" ht="13.5" customHeight="1">
      <c r="B206" s="1"/>
      <c r="C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H206" s="1"/>
      <c r="BM206" s="1"/>
    </row>
    <row r="207" spans="2:65" ht="13.5" customHeight="1">
      <c r="B207" s="1"/>
      <c r="C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H207" s="1"/>
      <c r="BM207" s="1"/>
    </row>
    <row r="208" spans="2:65" ht="13.5" customHeight="1">
      <c r="B208" s="1"/>
      <c r="C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H208" s="1"/>
      <c r="BM208" s="1"/>
    </row>
    <row r="209" spans="2:65" ht="13.5" customHeight="1">
      <c r="B209" s="1"/>
      <c r="C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H209" s="1"/>
      <c r="BM209" s="1"/>
    </row>
    <row r="210" spans="2:65" ht="13.5" customHeight="1">
      <c r="B210" s="1"/>
      <c r="C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H210" s="1"/>
      <c r="BM210" s="1"/>
    </row>
    <row r="211" spans="2:65" ht="13.5" customHeight="1">
      <c r="B211" s="1"/>
      <c r="C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H211" s="1"/>
      <c r="BM211" s="1"/>
    </row>
    <row r="212" spans="2:65" ht="13.5" customHeight="1">
      <c r="B212" s="1"/>
      <c r="C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H212" s="1"/>
      <c r="BM212" s="1"/>
    </row>
    <row r="213" spans="2:65" ht="13.5" customHeight="1">
      <c r="B213" s="1"/>
      <c r="C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H213" s="1"/>
      <c r="BM213" s="1"/>
    </row>
    <row r="214" spans="2:65" ht="13.5" customHeight="1">
      <c r="B214" s="1"/>
      <c r="C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H214" s="1"/>
      <c r="BM214" s="1"/>
    </row>
    <row r="215" spans="2:65" ht="13.5" customHeight="1">
      <c r="B215" s="1"/>
      <c r="C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H215" s="1"/>
      <c r="BM215" s="1"/>
    </row>
    <row r="216" spans="2:65" ht="13.5" customHeight="1">
      <c r="B216" s="1"/>
      <c r="C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H216" s="1"/>
      <c r="BM216" s="1"/>
    </row>
    <row r="217" spans="2:65" ht="13.5" customHeight="1">
      <c r="B217" s="1"/>
      <c r="C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H217" s="1"/>
      <c r="BM217" s="1"/>
    </row>
    <row r="218" spans="2:65" ht="13.5" customHeight="1">
      <c r="B218" s="1"/>
      <c r="C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H218" s="1"/>
      <c r="BM218" s="1"/>
    </row>
    <row r="219" spans="2:65" ht="13.5" customHeight="1">
      <c r="B219" s="1"/>
      <c r="C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H219" s="1"/>
      <c r="BM219" s="1"/>
    </row>
    <row r="220" spans="2:65" ht="13.5" customHeight="1">
      <c r="B220" s="1"/>
      <c r="C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H220" s="1"/>
      <c r="BM220" s="1"/>
    </row>
    <row r="221" spans="2:65" ht="13.5" customHeight="1">
      <c r="B221" s="1"/>
      <c r="C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H221" s="1"/>
      <c r="BM221" s="1"/>
    </row>
    <row r="222" spans="2:65" ht="13.5" customHeight="1">
      <c r="B222" s="1"/>
      <c r="C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H222" s="1"/>
      <c r="BM222" s="1"/>
    </row>
    <row r="223" spans="2:65" ht="13.5" customHeight="1">
      <c r="B223" s="1"/>
      <c r="C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H223" s="1"/>
      <c r="BM223" s="1"/>
    </row>
    <row r="224" spans="2:65" ht="13.5" customHeight="1">
      <c r="B224" s="1"/>
      <c r="C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H224" s="1"/>
      <c r="BM224" s="1"/>
    </row>
    <row r="225" spans="2:65" ht="13.5" customHeight="1">
      <c r="B225" s="1"/>
      <c r="C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H225" s="1"/>
      <c r="BM225" s="1"/>
    </row>
    <row r="226" spans="2:65" ht="13.5" customHeight="1">
      <c r="B226" s="1"/>
      <c r="C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H226" s="1"/>
      <c r="BM226" s="1"/>
    </row>
    <row r="227" spans="2:65" ht="13.5" customHeight="1">
      <c r="B227" s="1"/>
      <c r="C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H227" s="1"/>
      <c r="BM227" s="1"/>
    </row>
    <row r="228" spans="2:65" ht="13.5" customHeight="1">
      <c r="B228" s="1"/>
      <c r="C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H228" s="1"/>
      <c r="BM228" s="1"/>
    </row>
    <row r="229" spans="2:65" ht="13.5" customHeight="1">
      <c r="B229" s="1"/>
      <c r="C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H229" s="1"/>
      <c r="BM229" s="1"/>
    </row>
    <row r="230" spans="2:65" ht="13.5" customHeight="1">
      <c r="B230" s="1"/>
      <c r="C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H230" s="1"/>
      <c r="BM230" s="1"/>
    </row>
    <row r="231" spans="2:65" ht="13.5" customHeight="1">
      <c r="B231" s="1"/>
      <c r="C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H231" s="1"/>
      <c r="BM231" s="1"/>
    </row>
    <row r="232" spans="2:65" ht="13.5" customHeight="1">
      <c r="B232" s="1"/>
      <c r="C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H232" s="1"/>
      <c r="BM232" s="1"/>
    </row>
    <row r="233" spans="2:65" ht="13.5" customHeight="1">
      <c r="B233" s="1"/>
      <c r="C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H233" s="1"/>
      <c r="BM233" s="1"/>
    </row>
    <row r="234" spans="2:65" ht="13.5" customHeight="1">
      <c r="B234" s="1"/>
      <c r="C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H234" s="1"/>
      <c r="BM234" s="1"/>
    </row>
    <row r="235" spans="2:65" ht="13.5" customHeight="1">
      <c r="B235" s="1"/>
      <c r="C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H235" s="1"/>
      <c r="BM235" s="1"/>
    </row>
    <row r="236" spans="2:65" ht="13.5" customHeight="1">
      <c r="B236" s="1"/>
      <c r="C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H236" s="1"/>
      <c r="BM236" s="1"/>
    </row>
    <row r="237" spans="2:65" ht="13.5" customHeight="1">
      <c r="B237" s="1"/>
      <c r="C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H237" s="1"/>
      <c r="BM237" s="1"/>
    </row>
    <row r="238" spans="2:65" ht="13.5" customHeight="1">
      <c r="B238" s="1"/>
      <c r="C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H238" s="1"/>
      <c r="BM238" s="1"/>
    </row>
    <row r="239" spans="2:65" ht="13.5" customHeight="1">
      <c r="B239" s="1"/>
      <c r="C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H239" s="1"/>
      <c r="BM239" s="1"/>
    </row>
    <row r="240" spans="2:65" ht="13.5" customHeight="1">
      <c r="B240" s="1"/>
      <c r="C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H240" s="1"/>
      <c r="BM240" s="1"/>
    </row>
    <row r="241" spans="2:65" ht="13.5" customHeight="1">
      <c r="B241" s="1"/>
      <c r="C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H241" s="1"/>
      <c r="BM241" s="1"/>
    </row>
    <row r="242" spans="2:65" ht="13.5" customHeight="1">
      <c r="B242" s="1"/>
      <c r="C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H242" s="1"/>
      <c r="BM242" s="1"/>
    </row>
    <row r="243" spans="2:65" ht="13.5" customHeight="1">
      <c r="B243" s="1"/>
      <c r="C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H243" s="1"/>
      <c r="BM243" s="1"/>
    </row>
    <row r="244" spans="2:65" ht="13.5" customHeight="1">
      <c r="B244" s="1"/>
      <c r="C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H244" s="1"/>
      <c r="BM244" s="1"/>
    </row>
    <row r="245" spans="2:65" ht="13.5" customHeight="1">
      <c r="B245" s="1"/>
      <c r="C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H245" s="1"/>
      <c r="BM245" s="1"/>
    </row>
    <row r="246" spans="2:65" ht="13.5" customHeight="1">
      <c r="B246" s="1"/>
      <c r="C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H246" s="1"/>
      <c r="BM246" s="1"/>
    </row>
    <row r="247" spans="2:65" ht="13.5" customHeight="1">
      <c r="B247" s="1"/>
      <c r="C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H247" s="1"/>
      <c r="BM247" s="1"/>
    </row>
    <row r="248" spans="2:65" ht="13.5" customHeight="1">
      <c r="B248" s="1"/>
      <c r="C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H248" s="1"/>
      <c r="BM248" s="1"/>
    </row>
    <row r="249" spans="2:65" ht="13.5" customHeight="1">
      <c r="B249" s="1"/>
      <c r="C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H249" s="1"/>
      <c r="BM249" s="1"/>
    </row>
    <row r="250" spans="2:65" ht="13.5" customHeight="1">
      <c r="B250" s="1"/>
      <c r="C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H250" s="1"/>
      <c r="BM250" s="1"/>
    </row>
    <row r="251" spans="2:65" ht="13.5" customHeight="1">
      <c r="B251" s="1"/>
      <c r="C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H251" s="1"/>
      <c r="BM251" s="1"/>
    </row>
    <row r="252" spans="2:65" ht="13.5" customHeight="1">
      <c r="B252" s="1"/>
      <c r="C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H252" s="1"/>
      <c r="BM252" s="1"/>
    </row>
    <row r="253" spans="2:65" ht="13.5" customHeight="1">
      <c r="B253" s="1"/>
      <c r="C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H253" s="1"/>
      <c r="BM253" s="1"/>
    </row>
    <row r="254" spans="2:65" ht="13.5" customHeight="1">
      <c r="B254" s="1"/>
      <c r="C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H254" s="1"/>
      <c r="BM254" s="1"/>
    </row>
    <row r="255" spans="2:65" ht="13.5" customHeight="1">
      <c r="B255" s="1"/>
      <c r="C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H255" s="1"/>
      <c r="BM255" s="1"/>
    </row>
    <row r="256" spans="2:65" ht="13.5" customHeight="1">
      <c r="B256" s="1"/>
      <c r="C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H256" s="1"/>
      <c r="BM256" s="1"/>
    </row>
    <row r="257" spans="2:65" ht="13.5" customHeight="1">
      <c r="B257" s="1"/>
      <c r="C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H257" s="1"/>
      <c r="BM257" s="1"/>
    </row>
    <row r="258" spans="2:65" ht="13.5" customHeight="1">
      <c r="B258" s="1"/>
      <c r="C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H258" s="1"/>
      <c r="BM258" s="1"/>
    </row>
    <row r="259" spans="2:65" ht="13.5" customHeight="1">
      <c r="B259" s="1"/>
      <c r="C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H259" s="1"/>
      <c r="BM259" s="1"/>
    </row>
    <row r="260" spans="2:65" ht="13.5" customHeight="1">
      <c r="B260" s="1"/>
      <c r="C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H260" s="1"/>
      <c r="BM260" s="1"/>
    </row>
    <row r="261" spans="2:65" ht="13.5" customHeight="1">
      <c r="B261" s="1"/>
      <c r="C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H261" s="1"/>
      <c r="BM261" s="1"/>
    </row>
    <row r="262" spans="2:65" ht="13.5" customHeight="1">
      <c r="B262" s="1"/>
      <c r="C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H262" s="1"/>
      <c r="BM262" s="1"/>
    </row>
    <row r="263" spans="2:65" ht="13.5" customHeight="1">
      <c r="B263" s="1"/>
      <c r="C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H263" s="1"/>
      <c r="BM263" s="1"/>
    </row>
    <row r="264" spans="2:65" ht="13.5" customHeight="1">
      <c r="B264" s="1"/>
      <c r="C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H264" s="1"/>
      <c r="BM264" s="1"/>
    </row>
    <row r="265" spans="2:65" ht="13.5" customHeight="1">
      <c r="B265" s="1"/>
      <c r="C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H265" s="1"/>
      <c r="BM265" s="1"/>
    </row>
    <row r="266" spans="2:65" ht="13.5" customHeight="1">
      <c r="B266" s="1"/>
      <c r="C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H266" s="1"/>
      <c r="BM266" s="1"/>
    </row>
    <row r="267" spans="2:65" ht="13.5" customHeight="1">
      <c r="B267" s="1"/>
      <c r="C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H267" s="1"/>
      <c r="BM267" s="1"/>
    </row>
    <row r="268" spans="2:65" ht="13.5" customHeight="1">
      <c r="B268" s="1"/>
      <c r="C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H268" s="1"/>
      <c r="BM268" s="1"/>
    </row>
    <row r="269" spans="2:65" ht="13.5" customHeight="1">
      <c r="B269" s="1"/>
      <c r="C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H269" s="1"/>
      <c r="BM269" s="1"/>
    </row>
    <row r="270" spans="2:65" ht="13.5" customHeight="1">
      <c r="B270" s="1"/>
      <c r="C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H270" s="1"/>
      <c r="BM270" s="1"/>
    </row>
    <row r="271" spans="2:65" ht="13.5" customHeight="1">
      <c r="B271" s="1"/>
      <c r="C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H271" s="1"/>
      <c r="BM271" s="1"/>
    </row>
    <row r="272" spans="2:65" ht="13.5" customHeight="1">
      <c r="B272" s="1"/>
      <c r="C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H272" s="1"/>
      <c r="BM272" s="1"/>
    </row>
    <row r="273" spans="2:65" ht="13.5" customHeight="1">
      <c r="B273" s="1"/>
      <c r="C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H273" s="1"/>
      <c r="BM273" s="1"/>
    </row>
    <row r="274" spans="2:65" ht="13.5" customHeight="1">
      <c r="B274" s="1"/>
      <c r="C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H274" s="1"/>
      <c r="BM274" s="1"/>
    </row>
    <row r="275" spans="2:65" ht="13.5" customHeight="1">
      <c r="B275" s="1"/>
      <c r="C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H275" s="1"/>
      <c r="BM275" s="1"/>
    </row>
    <row r="276" spans="2:65" ht="13.5" customHeight="1">
      <c r="B276" s="1"/>
      <c r="C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H276" s="1"/>
      <c r="BM276" s="1"/>
    </row>
    <row r="277" spans="2:65" ht="13.5" customHeight="1">
      <c r="B277" s="1"/>
      <c r="C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H277" s="1"/>
      <c r="BM277" s="1"/>
    </row>
    <row r="278" spans="2:65" ht="13.5" customHeight="1">
      <c r="B278" s="1"/>
      <c r="C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H278" s="1"/>
      <c r="BM278" s="1"/>
    </row>
    <row r="279" spans="2:65" ht="13.5" customHeight="1">
      <c r="B279" s="1"/>
      <c r="C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H279" s="1"/>
      <c r="BM279" s="1"/>
    </row>
    <row r="280" spans="2:65" ht="13.5" customHeight="1">
      <c r="B280" s="1"/>
      <c r="C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H280" s="1"/>
      <c r="BM280" s="1"/>
    </row>
    <row r="281" spans="2:65" ht="13.5" customHeight="1">
      <c r="B281" s="1"/>
      <c r="C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H281" s="1"/>
      <c r="BM281" s="1"/>
    </row>
    <row r="282" spans="2:65" ht="13.5" customHeight="1">
      <c r="B282" s="1"/>
      <c r="C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H282" s="1"/>
      <c r="BM282" s="1"/>
    </row>
    <row r="283" spans="2:65" ht="13.5" customHeight="1">
      <c r="B283" s="1"/>
      <c r="C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H283" s="1"/>
      <c r="BM283" s="1"/>
    </row>
    <row r="284" spans="2:65" ht="13.5" customHeight="1">
      <c r="B284" s="1"/>
      <c r="C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H284" s="1"/>
      <c r="BM284" s="1"/>
    </row>
    <row r="285" spans="2:65" ht="13.5" customHeight="1">
      <c r="B285" s="1"/>
      <c r="C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H285" s="1"/>
      <c r="BM285" s="1"/>
    </row>
    <row r="286" spans="2:65" ht="13.5" customHeight="1">
      <c r="B286" s="1"/>
      <c r="C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H286" s="1"/>
      <c r="BM286" s="1"/>
    </row>
    <row r="287" spans="2:65" ht="13.5" customHeight="1">
      <c r="B287" s="1"/>
      <c r="C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H287" s="1"/>
      <c r="BM287" s="1"/>
    </row>
    <row r="288" spans="2:65" ht="13.5" customHeight="1">
      <c r="B288" s="1"/>
      <c r="C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H288" s="1"/>
      <c r="BM288" s="1"/>
    </row>
    <row r="289" spans="2:65" ht="13.5" customHeight="1">
      <c r="B289" s="1"/>
      <c r="C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H289" s="1"/>
      <c r="BM289" s="1"/>
    </row>
    <row r="290" spans="2:65" ht="13.5" customHeight="1">
      <c r="B290" s="1"/>
      <c r="C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H290" s="1"/>
      <c r="BM290" s="1"/>
    </row>
    <row r="291" spans="2:65" ht="13.5" customHeight="1">
      <c r="B291" s="1"/>
      <c r="C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H291" s="1"/>
      <c r="BM291" s="1"/>
    </row>
    <row r="292" spans="2:65" ht="13.5" customHeight="1">
      <c r="B292" s="1"/>
      <c r="C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H292" s="1"/>
      <c r="BM292" s="1"/>
    </row>
    <row r="293" spans="2:65" ht="13.5" customHeight="1">
      <c r="B293" s="1"/>
      <c r="C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H293" s="1"/>
      <c r="BM293" s="1"/>
    </row>
    <row r="294" spans="2:65" ht="13.5" customHeight="1">
      <c r="B294" s="1"/>
      <c r="C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H294" s="1"/>
      <c r="BM294" s="1"/>
    </row>
    <row r="295" spans="2:65" ht="13.5" customHeight="1">
      <c r="B295" s="1"/>
      <c r="C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H295" s="1"/>
      <c r="BM295" s="1"/>
    </row>
    <row r="296" spans="2:65" ht="13.5" customHeight="1">
      <c r="B296" s="1"/>
      <c r="C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H296" s="1"/>
      <c r="BM296" s="1"/>
    </row>
    <row r="297" spans="2:65" ht="13.5" customHeight="1">
      <c r="B297" s="1"/>
      <c r="C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H297" s="1"/>
      <c r="BM297" s="1"/>
    </row>
    <row r="298" spans="2:65" ht="13.5" customHeight="1">
      <c r="B298" s="1"/>
      <c r="C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H298" s="1"/>
      <c r="BM298" s="1"/>
    </row>
    <row r="299" spans="2:65" ht="13.5" customHeight="1">
      <c r="B299" s="1"/>
      <c r="C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H299" s="1"/>
      <c r="BM299" s="1"/>
    </row>
    <row r="300" spans="2:65" ht="13.5" customHeight="1">
      <c r="B300" s="1"/>
      <c r="C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H300" s="1"/>
      <c r="BM300" s="1"/>
    </row>
    <row r="301" spans="2:65" ht="13.5" customHeight="1">
      <c r="B301" s="1"/>
      <c r="C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H301" s="1"/>
      <c r="BM301" s="1"/>
    </row>
    <row r="302" spans="2:65" ht="13.5" customHeight="1">
      <c r="B302" s="1"/>
      <c r="C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H302" s="1"/>
      <c r="BM302" s="1"/>
    </row>
    <row r="303" spans="2:65" ht="13.5" customHeight="1">
      <c r="B303" s="1"/>
      <c r="C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H303" s="1"/>
      <c r="BM303" s="1"/>
    </row>
    <row r="304" spans="2:65" ht="13.5" customHeight="1">
      <c r="B304" s="1"/>
      <c r="C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H304" s="1"/>
      <c r="BM304" s="1"/>
    </row>
    <row r="305" spans="2:65" ht="13.5" customHeight="1">
      <c r="B305" s="1"/>
      <c r="C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H305" s="1"/>
      <c r="BM305" s="1"/>
    </row>
    <row r="306" spans="2:65" ht="13.5" customHeight="1">
      <c r="B306" s="1"/>
      <c r="C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H306" s="1"/>
      <c r="BM306" s="1"/>
    </row>
    <row r="307" spans="2:65" ht="13.5" customHeight="1">
      <c r="B307" s="1"/>
      <c r="C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H307" s="1"/>
      <c r="BM307" s="1"/>
    </row>
    <row r="308" spans="2:65" ht="13.5" customHeight="1">
      <c r="B308" s="1"/>
      <c r="C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H308" s="1"/>
      <c r="BM308" s="1"/>
    </row>
    <row r="309" spans="2:65" ht="13.5" customHeight="1">
      <c r="B309" s="1"/>
      <c r="C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H309" s="1"/>
      <c r="BM309" s="1"/>
    </row>
    <row r="310" spans="2:65" ht="13.5" customHeight="1">
      <c r="B310" s="1"/>
      <c r="C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H310" s="1"/>
      <c r="BM310" s="1"/>
    </row>
    <row r="311" spans="2:65" ht="13.5" customHeight="1">
      <c r="B311" s="1"/>
      <c r="C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H311" s="1"/>
      <c r="BM311" s="1"/>
    </row>
    <row r="312" spans="2:65" ht="13.5" customHeight="1">
      <c r="B312" s="1"/>
      <c r="C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H312" s="1"/>
      <c r="BM312" s="1"/>
    </row>
    <row r="313" spans="2:65" ht="13.5" customHeight="1">
      <c r="B313" s="1"/>
      <c r="C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H313" s="1"/>
      <c r="BM313" s="1"/>
    </row>
    <row r="314" spans="2:65" ht="13.5" customHeight="1">
      <c r="B314" s="1"/>
      <c r="C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H314" s="1"/>
      <c r="BM314" s="1"/>
    </row>
    <row r="315" spans="2:65" ht="13.5" customHeight="1">
      <c r="B315" s="1"/>
      <c r="C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H315" s="1"/>
      <c r="BM315" s="1"/>
    </row>
    <row r="316" spans="2:65" ht="13.5" customHeight="1">
      <c r="B316" s="1"/>
      <c r="C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H316" s="1"/>
      <c r="BM316" s="1"/>
    </row>
    <row r="317" spans="2:65" ht="13.5" customHeight="1">
      <c r="B317" s="1"/>
      <c r="C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H317" s="1"/>
      <c r="BM317" s="1"/>
    </row>
    <row r="318" spans="2:65" ht="13.5" customHeight="1">
      <c r="B318" s="1"/>
      <c r="C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H318" s="1"/>
      <c r="BM318" s="1"/>
    </row>
    <row r="319" spans="2:65" ht="13.5" customHeight="1">
      <c r="B319" s="1"/>
      <c r="C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H319" s="1"/>
      <c r="BM319" s="1"/>
    </row>
    <row r="320" spans="2:65" ht="13.5" customHeight="1">
      <c r="B320" s="1"/>
      <c r="C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H320" s="1"/>
      <c r="BM320" s="1"/>
    </row>
    <row r="321" spans="2:65" ht="13.5" customHeight="1">
      <c r="B321" s="1"/>
      <c r="C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H321" s="1"/>
      <c r="BM321" s="1"/>
    </row>
    <row r="322" spans="2:65" ht="13.5" customHeight="1">
      <c r="B322" s="1"/>
      <c r="C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H322" s="1"/>
      <c r="BM322" s="1"/>
    </row>
    <row r="323" spans="2:65" ht="13.5" customHeight="1">
      <c r="B323" s="1"/>
      <c r="C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H323" s="1"/>
      <c r="BM323" s="1"/>
    </row>
    <row r="324" spans="2:65" ht="13.5" customHeight="1">
      <c r="B324" s="1"/>
      <c r="C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H324" s="1"/>
      <c r="BM324" s="1"/>
    </row>
    <row r="325" spans="2:65" ht="13.5" customHeight="1">
      <c r="B325" s="1"/>
      <c r="C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H325" s="1"/>
      <c r="BM325" s="1"/>
    </row>
    <row r="326" spans="2:65" ht="13.5" customHeight="1">
      <c r="B326" s="1"/>
      <c r="C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H326" s="1"/>
      <c r="BM326" s="1"/>
    </row>
    <row r="327" spans="2:65" ht="13.5" customHeight="1">
      <c r="B327" s="1"/>
      <c r="C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H327" s="1"/>
      <c r="BM327" s="1"/>
    </row>
    <row r="328" spans="2:65" ht="13.5" customHeight="1">
      <c r="B328" s="1"/>
      <c r="C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H328" s="1"/>
      <c r="BM328" s="1"/>
    </row>
    <row r="329" spans="2:65" ht="13.5" customHeight="1">
      <c r="B329" s="1"/>
      <c r="C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H329" s="1"/>
      <c r="BM329" s="1"/>
    </row>
    <row r="330" spans="2:65" ht="13.5" customHeight="1">
      <c r="B330" s="1"/>
      <c r="C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H330" s="1"/>
      <c r="BM330" s="1"/>
    </row>
    <row r="331" spans="2:65" ht="13.5" customHeight="1">
      <c r="B331" s="1"/>
      <c r="C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H331" s="1"/>
      <c r="BM331" s="1"/>
    </row>
    <row r="332" spans="2:65" ht="13.5" customHeight="1">
      <c r="B332" s="1"/>
      <c r="C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H332" s="1"/>
      <c r="BM332" s="1"/>
    </row>
    <row r="333" spans="2:65" ht="13.5" customHeight="1">
      <c r="B333" s="1"/>
      <c r="C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H333" s="1"/>
      <c r="BM333" s="1"/>
    </row>
    <row r="334" spans="2:65" ht="13.5" customHeight="1">
      <c r="B334" s="1"/>
      <c r="C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H334" s="1"/>
      <c r="BM334" s="1"/>
    </row>
    <row r="335" spans="2:65" ht="13.5" customHeight="1">
      <c r="B335" s="1"/>
      <c r="C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H335" s="1"/>
      <c r="BM335" s="1"/>
    </row>
    <row r="336" spans="2:65" ht="13.5" customHeight="1">
      <c r="B336" s="1"/>
      <c r="C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H336" s="1"/>
      <c r="BM336" s="1"/>
    </row>
    <row r="337" spans="2:65" ht="13.5" customHeight="1">
      <c r="B337" s="1"/>
      <c r="C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H337" s="1"/>
      <c r="BM337" s="1"/>
    </row>
    <row r="338" spans="2:65" ht="13.5" customHeight="1">
      <c r="B338" s="1"/>
      <c r="C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H338" s="1"/>
      <c r="BM338" s="1"/>
    </row>
    <row r="339" spans="2:65" ht="13.5" customHeight="1">
      <c r="B339" s="1"/>
      <c r="C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H339" s="1"/>
      <c r="BM339" s="1"/>
    </row>
    <row r="340" spans="2:65" ht="13.5" customHeight="1">
      <c r="B340" s="1"/>
      <c r="C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H340" s="1"/>
      <c r="BM340" s="1"/>
    </row>
    <row r="341" spans="2:65" ht="13.5" customHeight="1">
      <c r="B341" s="1"/>
      <c r="C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H341" s="1"/>
      <c r="BM341" s="1"/>
    </row>
    <row r="342" spans="2:65" ht="13.5" customHeight="1">
      <c r="B342" s="1"/>
      <c r="C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H342" s="1"/>
      <c r="BM342" s="1"/>
    </row>
    <row r="343" spans="2:65" ht="13.5" customHeight="1">
      <c r="B343" s="1"/>
      <c r="C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H343" s="1"/>
      <c r="BM343" s="1"/>
    </row>
    <row r="344" spans="2:65" ht="13.5" customHeight="1">
      <c r="B344" s="1"/>
      <c r="C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H344" s="1"/>
      <c r="BM344" s="1"/>
    </row>
    <row r="345" spans="2:65" ht="13.5" customHeight="1">
      <c r="B345" s="1"/>
      <c r="C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H345" s="1"/>
      <c r="BM345" s="1"/>
    </row>
    <row r="346" spans="2:65" ht="13.5" customHeight="1">
      <c r="B346" s="1"/>
      <c r="C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H346" s="1"/>
      <c r="BM346" s="1"/>
    </row>
    <row r="347" spans="2:65" ht="13.5" customHeight="1">
      <c r="B347" s="1"/>
      <c r="C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H347" s="1"/>
      <c r="BM347" s="1"/>
    </row>
    <row r="348" spans="2:65" ht="13.5" customHeight="1">
      <c r="B348" s="1"/>
      <c r="C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H348" s="1"/>
      <c r="BM348" s="1"/>
    </row>
    <row r="349" spans="2:65" ht="13.5" customHeight="1">
      <c r="B349" s="1"/>
      <c r="C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H349" s="1"/>
      <c r="BM349" s="1"/>
    </row>
    <row r="350" spans="2:65" ht="13.5" customHeight="1">
      <c r="B350" s="1"/>
      <c r="C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H350" s="1"/>
      <c r="BM350" s="1"/>
    </row>
    <row r="351" spans="2:65" ht="13.5" customHeight="1">
      <c r="B351" s="1"/>
      <c r="C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H351" s="1"/>
      <c r="BM351" s="1"/>
    </row>
    <row r="352" spans="2:65" ht="13.5" customHeight="1">
      <c r="B352" s="1"/>
      <c r="C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H352" s="1"/>
      <c r="BM352" s="1"/>
    </row>
    <row r="353" spans="2:65" ht="13.5" customHeight="1">
      <c r="B353" s="1"/>
      <c r="C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H353" s="1"/>
      <c r="BM353" s="1"/>
    </row>
    <row r="354" spans="2:65" ht="13.5" customHeight="1">
      <c r="B354" s="1"/>
      <c r="C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H354" s="1"/>
      <c r="BM354" s="1"/>
    </row>
    <row r="355" spans="2:65" ht="13.5" customHeight="1">
      <c r="B355" s="1"/>
      <c r="C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H355" s="1"/>
      <c r="BM355" s="1"/>
    </row>
    <row r="356" spans="2:65" ht="13.5" customHeight="1">
      <c r="B356" s="1"/>
      <c r="C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H356" s="1"/>
      <c r="BM356" s="1"/>
    </row>
    <row r="357" spans="2:65" ht="13.5" customHeight="1">
      <c r="B357" s="1"/>
      <c r="C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H357" s="1"/>
      <c r="BM357" s="1"/>
    </row>
    <row r="358" spans="2:65" ht="13.5" customHeight="1">
      <c r="B358" s="1"/>
      <c r="C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H358" s="1"/>
      <c r="BM358" s="1"/>
    </row>
    <row r="359" spans="2:65" ht="13.5" customHeight="1">
      <c r="B359" s="1"/>
      <c r="C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H359" s="1"/>
      <c r="BM359" s="1"/>
    </row>
    <row r="360" spans="2:65" ht="13.5" customHeight="1">
      <c r="B360" s="1"/>
      <c r="C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H360" s="1"/>
      <c r="BM360" s="1"/>
    </row>
    <row r="361" spans="2:65" ht="13.5" customHeight="1">
      <c r="B361" s="1"/>
      <c r="C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H361" s="1"/>
      <c r="BM361" s="1"/>
    </row>
    <row r="362" spans="2:65" ht="13.5" customHeight="1">
      <c r="B362" s="1"/>
      <c r="C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H362" s="1"/>
      <c r="BM362" s="1"/>
    </row>
    <row r="363" spans="2:65" ht="13.5" customHeight="1">
      <c r="B363" s="1"/>
      <c r="C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H363" s="1"/>
      <c r="BM363" s="1"/>
    </row>
    <row r="364" spans="2:65" ht="13.5" customHeight="1">
      <c r="B364" s="1"/>
      <c r="C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H364" s="1"/>
      <c r="BM364" s="1"/>
    </row>
    <row r="365" spans="2:65" ht="13.5" customHeight="1">
      <c r="B365" s="1"/>
      <c r="C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H365" s="1"/>
      <c r="BM365" s="1"/>
    </row>
    <row r="366" spans="2:65" ht="13.5" customHeight="1">
      <c r="B366" s="1"/>
      <c r="C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H366" s="1"/>
      <c r="BM366" s="1"/>
    </row>
    <row r="367" spans="2:65" ht="13.5" customHeight="1">
      <c r="B367" s="1"/>
      <c r="C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H367" s="1"/>
      <c r="BM367" s="1"/>
    </row>
    <row r="368" spans="2:65" ht="13.5" customHeight="1">
      <c r="B368" s="1"/>
      <c r="C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H368" s="1"/>
      <c r="BM368" s="1"/>
    </row>
    <row r="369" spans="2:65" ht="13.5" customHeight="1">
      <c r="B369" s="1"/>
      <c r="C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H369" s="1"/>
      <c r="BM369" s="1"/>
    </row>
    <row r="370" spans="2:65" ht="13.5" customHeight="1">
      <c r="B370" s="1"/>
      <c r="C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H370" s="1"/>
      <c r="BM370" s="1"/>
    </row>
    <row r="371" spans="2:65" ht="13.5" customHeight="1">
      <c r="B371" s="1"/>
      <c r="C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H371" s="1"/>
      <c r="BM371" s="1"/>
    </row>
    <row r="372" spans="2:65" ht="13.5" customHeight="1">
      <c r="B372" s="1"/>
      <c r="C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H372" s="1"/>
      <c r="BM372" s="1"/>
    </row>
    <row r="373" spans="2:65" ht="13.5" customHeight="1">
      <c r="B373" s="1"/>
      <c r="C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H373" s="1"/>
      <c r="BM373" s="1"/>
    </row>
    <row r="374" spans="2:65" ht="13.5" customHeight="1">
      <c r="B374" s="1"/>
      <c r="C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H374" s="1"/>
      <c r="BM374" s="1"/>
    </row>
    <row r="375" spans="2:65" ht="13.5" customHeight="1">
      <c r="B375" s="1"/>
      <c r="C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H375" s="1"/>
      <c r="BM375" s="1"/>
    </row>
    <row r="376" spans="2:65" ht="13.5" customHeight="1">
      <c r="B376" s="1"/>
      <c r="C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H376" s="1"/>
      <c r="BM376" s="1"/>
    </row>
    <row r="377" spans="2:65" ht="13.5" customHeight="1">
      <c r="B377" s="1"/>
      <c r="C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H377" s="1"/>
      <c r="BM377" s="1"/>
    </row>
    <row r="378" spans="2:65" ht="13.5" customHeight="1">
      <c r="B378" s="1"/>
      <c r="C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H378" s="1"/>
      <c r="BM378" s="1"/>
    </row>
    <row r="379" spans="2:65" ht="13.5" customHeight="1">
      <c r="B379" s="1"/>
      <c r="C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H379" s="1"/>
      <c r="BM379" s="1"/>
    </row>
    <row r="380" spans="2:65" ht="13.5" customHeight="1">
      <c r="B380" s="1"/>
      <c r="C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H380" s="1"/>
      <c r="BM380" s="1"/>
    </row>
    <row r="381" spans="2:65" ht="13.5" customHeight="1">
      <c r="B381" s="1"/>
      <c r="C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H381" s="1"/>
      <c r="BM381" s="1"/>
    </row>
    <row r="382" spans="2:65" ht="13.5" customHeight="1">
      <c r="B382" s="1"/>
      <c r="C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H382" s="1"/>
      <c r="BM382" s="1"/>
    </row>
    <row r="383" spans="2:65" ht="13.5" customHeight="1">
      <c r="B383" s="1"/>
      <c r="C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H383" s="1"/>
      <c r="BM383" s="1"/>
    </row>
    <row r="384" spans="2:65" ht="13.5" customHeight="1">
      <c r="B384" s="1"/>
      <c r="C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H384" s="1"/>
      <c r="BM384" s="1"/>
    </row>
    <row r="385" spans="2:65" ht="13.5" customHeight="1">
      <c r="B385" s="1"/>
      <c r="C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H385" s="1"/>
      <c r="BM385" s="1"/>
    </row>
    <row r="386" spans="2:65" ht="13.5" customHeight="1">
      <c r="B386" s="1"/>
      <c r="C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H386" s="1"/>
      <c r="BM386" s="1"/>
    </row>
    <row r="387" spans="2:65" ht="13.5" customHeight="1">
      <c r="B387" s="1"/>
      <c r="C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H387" s="1"/>
      <c r="BM387" s="1"/>
    </row>
    <row r="388" spans="2:65" ht="13.5" customHeight="1">
      <c r="B388" s="1"/>
      <c r="C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H388" s="1"/>
      <c r="BM388" s="1"/>
    </row>
    <row r="389" spans="2:65" ht="13.5" customHeight="1">
      <c r="B389" s="1"/>
      <c r="C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H389" s="1"/>
      <c r="BM389" s="1"/>
    </row>
    <row r="390" spans="2:65" ht="13.5" customHeight="1">
      <c r="B390" s="1"/>
      <c r="C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H390" s="1"/>
      <c r="BM390" s="1"/>
    </row>
    <row r="391" spans="2:65" ht="13.5" customHeight="1">
      <c r="B391" s="1"/>
      <c r="C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H391" s="1"/>
      <c r="BM391" s="1"/>
    </row>
    <row r="392" spans="2:65" ht="13.5" customHeight="1">
      <c r="B392" s="1"/>
      <c r="C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H392" s="1"/>
      <c r="BM392" s="1"/>
    </row>
    <row r="393" spans="2:65" ht="13.5" customHeight="1">
      <c r="B393" s="1"/>
      <c r="C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H393" s="1"/>
      <c r="BM393" s="1"/>
    </row>
    <row r="394" spans="2:65" ht="13.5" customHeight="1">
      <c r="B394" s="1"/>
      <c r="C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H394" s="1"/>
      <c r="BM394" s="1"/>
    </row>
    <row r="395" spans="2:65" ht="13.5" customHeight="1">
      <c r="B395" s="1"/>
      <c r="C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H395" s="1"/>
      <c r="BM395" s="1"/>
    </row>
    <row r="396" spans="2:65" ht="13.5" customHeight="1">
      <c r="B396" s="1"/>
      <c r="C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H396" s="1"/>
      <c r="BM396" s="1"/>
    </row>
    <row r="397" spans="2:65" ht="13.5" customHeight="1">
      <c r="B397" s="1"/>
      <c r="C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H397" s="1"/>
      <c r="BM397" s="1"/>
    </row>
    <row r="398" spans="2:65" ht="13.5" customHeight="1">
      <c r="B398" s="1"/>
      <c r="C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H398" s="1"/>
      <c r="BM398" s="1"/>
    </row>
    <row r="399" spans="2:65" ht="13.5" customHeight="1">
      <c r="B399" s="1"/>
      <c r="C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H399" s="1"/>
      <c r="BM399" s="1"/>
    </row>
    <row r="400" spans="2:65" ht="13.5" customHeight="1">
      <c r="B400" s="1"/>
      <c r="C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H400" s="1"/>
      <c r="BM400" s="1"/>
    </row>
    <row r="401" spans="2:65" ht="13.5" customHeight="1">
      <c r="B401" s="1"/>
      <c r="C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H401" s="1"/>
      <c r="BM401" s="1"/>
    </row>
    <row r="402" spans="2:65" ht="13.5" customHeight="1">
      <c r="B402" s="1"/>
      <c r="C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H402" s="1"/>
      <c r="BM402" s="1"/>
    </row>
    <row r="403" spans="2:65" ht="13.5" customHeight="1">
      <c r="B403" s="1"/>
      <c r="C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H403" s="1"/>
      <c r="BM403" s="1"/>
    </row>
    <row r="404" spans="2:65" ht="13.5" customHeight="1">
      <c r="B404" s="1"/>
      <c r="C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H404" s="1"/>
      <c r="BM404" s="1"/>
    </row>
    <row r="405" spans="2:65" ht="13.5" customHeight="1">
      <c r="B405" s="1"/>
      <c r="C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H405" s="1"/>
      <c r="BM405" s="1"/>
    </row>
    <row r="406" spans="2:65" ht="13.5" customHeight="1">
      <c r="B406" s="1"/>
      <c r="C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H406" s="1"/>
      <c r="BM406" s="1"/>
    </row>
    <row r="407" spans="2:65" ht="13.5" customHeight="1">
      <c r="B407" s="1"/>
      <c r="C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H407" s="1"/>
      <c r="BM407" s="1"/>
    </row>
    <row r="408" spans="2:65" ht="13.5" customHeight="1">
      <c r="B408" s="1"/>
      <c r="C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H408" s="1"/>
      <c r="BM408" s="1"/>
    </row>
    <row r="409" spans="2:65" ht="13.5" customHeight="1">
      <c r="B409" s="1"/>
      <c r="C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H409" s="1"/>
      <c r="BM409" s="1"/>
    </row>
    <row r="410" spans="2:65" ht="13.5" customHeight="1">
      <c r="B410" s="1"/>
      <c r="C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H410" s="1"/>
      <c r="BM410" s="1"/>
    </row>
    <row r="411" spans="2:65" ht="13.5" customHeight="1">
      <c r="B411" s="1"/>
      <c r="C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H411" s="1"/>
      <c r="BM411" s="1"/>
    </row>
    <row r="412" spans="2:65" ht="13.5" customHeight="1">
      <c r="B412" s="1"/>
      <c r="C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H412" s="1"/>
      <c r="BM412" s="1"/>
    </row>
    <row r="413" spans="2:65" ht="13.5" customHeight="1">
      <c r="B413" s="1"/>
      <c r="C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H413" s="1"/>
      <c r="BM413" s="1"/>
    </row>
    <row r="414" spans="2:65" ht="13.5" customHeight="1">
      <c r="B414" s="1"/>
      <c r="C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H414" s="1"/>
      <c r="BM414" s="1"/>
    </row>
    <row r="415" spans="2:65" ht="13.5" customHeight="1">
      <c r="B415" s="1"/>
      <c r="C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H415" s="1"/>
      <c r="BM415" s="1"/>
    </row>
    <row r="416" spans="2:65" ht="13.5" customHeight="1">
      <c r="B416" s="1"/>
      <c r="C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H416" s="1"/>
      <c r="BM416" s="1"/>
    </row>
    <row r="417" spans="2:65" ht="13.5" customHeight="1">
      <c r="B417" s="1"/>
      <c r="C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H417" s="1"/>
      <c r="BM417" s="1"/>
    </row>
    <row r="418" spans="2:65" ht="13.5" customHeight="1">
      <c r="B418" s="1"/>
      <c r="C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H418" s="1"/>
      <c r="BM418" s="1"/>
    </row>
    <row r="419" spans="2:65" ht="13.5" customHeight="1">
      <c r="B419" s="1"/>
      <c r="C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H419" s="1"/>
      <c r="BM419" s="1"/>
    </row>
    <row r="420" spans="2:65" ht="13.5" customHeight="1">
      <c r="B420" s="1"/>
      <c r="C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H420" s="1"/>
      <c r="BM420" s="1"/>
    </row>
    <row r="421" spans="2:65" ht="13.5" customHeight="1">
      <c r="B421" s="1"/>
      <c r="C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H421" s="1"/>
      <c r="BM421" s="1"/>
    </row>
    <row r="422" spans="2:65" ht="13.5" customHeight="1">
      <c r="B422" s="1"/>
      <c r="C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H422" s="1"/>
      <c r="BM422" s="1"/>
    </row>
    <row r="423" spans="2:65" ht="13.5" customHeight="1">
      <c r="B423" s="1"/>
      <c r="C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H423" s="1"/>
      <c r="BM423" s="1"/>
    </row>
    <row r="424" spans="2:65" ht="13.5" customHeight="1">
      <c r="B424" s="1"/>
      <c r="C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H424" s="1"/>
      <c r="BM424" s="1"/>
    </row>
    <row r="425" spans="2:65" ht="13.5" customHeight="1">
      <c r="B425" s="1"/>
      <c r="C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H425" s="1"/>
      <c r="BM425" s="1"/>
    </row>
    <row r="426" spans="2:65" ht="13.5" customHeight="1">
      <c r="B426" s="1"/>
      <c r="C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H426" s="1"/>
      <c r="BM426" s="1"/>
    </row>
    <row r="427" spans="2:65" ht="13.5" customHeight="1">
      <c r="B427" s="1"/>
      <c r="C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H427" s="1"/>
      <c r="BM427" s="1"/>
    </row>
    <row r="428" spans="2:65" ht="13.5" customHeight="1">
      <c r="B428" s="1"/>
      <c r="C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H428" s="1"/>
      <c r="BM428" s="1"/>
    </row>
    <row r="429" spans="2:65" ht="13.5" customHeight="1">
      <c r="B429" s="1"/>
      <c r="C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H429" s="1"/>
      <c r="BM429" s="1"/>
    </row>
    <row r="430" spans="2:65" ht="13.5" customHeight="1">
      <c r="B430" s="1"/>
      <c r="C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H430" s="1"/>
      <c r="BM430" s="1"/>
    </row>
    <row r="431" spans="2:65" ht="13.5" customHeight="1">
      <c r="B431" s="1"/>
      <c r="C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H431" s="1"/>
      <c r="BM431" s="1"/>
    </row>
    <row r="432" spans="2:65" ht="13.5" customHeight="1">
      <c r="B432" s="1"/>
      <c r="C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H432" s="1"/>
      <c r="BM432" s="1"/>
    </row>
    <row r="433" spans="2:65" ht="13.5" customHeight="1">
      <c r="B433" s="1"/>
      <c r="C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H433" s="1"/>
      <c r="BM433" s="1"/>
    </row>
    <row r="434" spans="2:65" ht="13.5" customHeight="1">
      <c r="B434" s="1"/>
      <c r="C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H434" s="1"/>
      <c r="BM434" s="1"/>
    </row>
    <row r="435" spans="2:65" ht="13.5" customHeight="1">
      <c r="B435" s="1"/>
      <c r="C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H435" s="1"/>
      <c r="BM435" s="1"/>
    </row>
    <row r="436" spans="2:65" ht="13.5" customHeight="1">
      <c r="B436" s="1"/>
      <c r="C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H436" s="1"/>
      <c r="BM436" s="1"/>
    </row>
    <row r="437" spans="2:65" ht="13.5" customHeight="1">
      <c r="B437" s="1"/>
      <c r="C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H437" s="1"/>
      <c r="BM437" s="1"/>
    </row>
    <row r="438" spans="2:65" ht="13.5" customHeight="1">
      <c r="B438" s="1"/>
      <c r="C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H438" s="1"/>
      <c r="BM438" s="1"/>
    </row>
    <row r="439" spans="2:65" ht="13.5" customHeight="1">
      <c r="B439" s="1"/>
      <c r="C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H439" s="1"/>
      <c r="BM439" s="1"/>
    </row>
    <row r="440" spans="2:65" ht="13.5" customHeight="1">
      <c r="B440" s="1"/>
      <c r="C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H440" s="1"/>
      <c r="BM440" s="1"/>
    </row>
    <row r="441" spans="2:65" ht="13.5" customHeight="1">
      <c r="B441" s="1"/>
      <c r="C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H441" s="1"/>
      <c r="BM441" s="1"/>
    </row>
    <row r="442" spans="2:65" ht="13.5" customHeight="1">
      <c r="B442" s="1"/>
      <c r="C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H442" s="1"/>
      <c r="BM442" s="1"/>
    </row>
    <row r="443" spans="2:65" ht="13.5" customHeight="1">
      <c r="B443" s="1"/>
      <c r="C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H443" s="1"/>
      <c r="BM443" s="1"/>
    </row>
    <row r="444" spans="2:65" ht="13.5" customHeight="1">
      <c r="B444" s="1"/>
      <c r="C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H444" s="1"/>
      <c r="BM444" s="1"/>
    </row>
    <row r="445" spans="2:65" ht="13.5" customHeight="1">
      <c r="B445" s="1"/>
      <c r="C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H445" s="1"/>
      <c r="BM445" s="1"/>
    </row>
    <row r="446" spans="2:65" ht="13.5" customHeight="1">
      <c r="B446" s="1"/>
      <c r="C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H446" s="1"/>
      <c r="BM446" s="1"/>
    </row>
    <row r="447" spans="2:65" ht="13.5" customHeight="1">
      <c r="B447" s="1"/>
      <c r="C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H447" s="1"/>
      <c r="BM447" s="1"/>
    </row>
    <row r="448" spans="2:65" ht="13.5" customHeight="1">
      <c r="B448" s="1"/>
      <c r="C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H448" s="1"/>
      <c r="BM448" s="1"/>
    </row>
    <row r="449" spans="2:65" ht="13.5" customHeight="1">
      <c r="B449" s="1"/>
      <c r="C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H449" s="1"/>
      <c r="BM449" s="1"/>
    </row>
    <row r="450" spans="2:65" ht="13.5" customHeight="1">
      <c r="B450" s="1"/>
      <c r="C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H450" s="1"/>
      <c r="BM450" s="1"/>
    </row>
    <row r="451" spans="2:65" ht="13.5" customHeight="1">
      <c r="B451" s="1"/>
      <c r="C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H451" s="1"/>
      <c r="BM451" s="1"/>
    </row>
    <row r="452" spans="2:65" ht="13.5" customHeight="1">
      <c r="B452" s="1"/>
      <c r="C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H452" s="1"/>
      <c r="BM452" s="1"/>
    </row>
    <row r="453" spans="2:65" ht="13.5" customHeight="1">
      <c r="B453" s="1"/>
      <c r="C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H453" s="1"/>
      <c r="BM453" s="1"/>
    </row>
    <row r="454" spans="2:65" ht="13.5" customHeight="1">
      <c r="B454" s="1"/>
      <c r="C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H454" s="1"/>
      <c r="BM454" s="1"/>
    </row>
    <row r="455" spans="2:65" ht="13.5" customHeight="1">
      <c r="B455" s="1"/>
      <c r="C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H455" s="1"/>
      <c r="BM455" s="1"/>
    </row>
    <row r="456" spans="2:65" ht="13.5" customHeight="1">
      <c r="B456" s="1"/>
      <c r="C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H456" s="1"/>
      <c r="BM456" s="1"/>
    </row>
    <row r="457" spans="2:65" ht="13.5" customHeight="1">
      <c r="B457" s="1"/>
      <c r="C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H457" s="1"/>
      <c r="BM457" s="1"/>
    </row>
    <row r="458" spans="2:65" ht="13.5" customHeight="1">
      <c r="B458" s="1"/>
      <c r="C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H458" s="1"/>
      <c r="BM458" s="1"/>
    </row>
    <row r="459" spans="2:65" ht="13.5" customHeight="1">
      <c r="B459" s="1"/>
      <c r="C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H459" s="1"/>
      <c r="BM459" s="1"/>
    </row>
    <row r="460" spans="2:65" ht="13.5" customHeight="1">
      <c r="B460" s="1"/>
      <c r="C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H460" s="1"/>
      <c r="BM460" s="1"/>
    </row>
    <row r="461" spans="2:65" ht="13.5" customHeight="1">
      <c r="B461" s="1"/>
      <c r="C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H461" s="1"/>
      <c r="BM461" s="1"/>
    </row>
    <row r="462" spans="2:65" ht="13.5" customHeight="1">
      <c r="B462" s="1"/>
      <c r="C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H462" s="1"/>
      <c r="BM462" s="1"/>
    </row>
    <row r="463" spans="2:65" ht="13.5" customHeight="1">
      <c r="B463" s="1"/>
      <c r="C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H463" s="1"/>
      <c r="BM463" s="1"/>
    </row>
    <row r="464" spans="2:65" ht="13.5" customHeight="1">
      <c r="B464" s="1"/>
      <c r="C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H464" s="1"/>
      <c r="BM464" s="1"/>
    </row>
    <row r="465" spans="2:65" ht="13.5" customHeight="1">
      <c r="B465" s="1"/>
      <c r="C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H465" s="1"/>
      <c r="BM465" s="1"/>
    </row>
    <row r="466" spans="2:65" ht="13.5" customHeight="1">
      <c r="B466" s="1"/>
      <c r="C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H466" s="1"/>
      <c r="BM466" s="1"/>
    </row>
    <row r="467" spans="2:65" ht="13.5" customHeight="1">
      <c r="B467" s="1"/>
      <c r="C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H467" s="1"/>
      <c r="BM467" s="1"/>
    </row>
    <row r="468" spans="2:65" ht="13.5" customHeight="1">
      <c r="B468" s="1"/>
      <c r="C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H468" s="1"/>
      <c r="BM468" s="1"/>
    </row>
    <row r="469" spans="2:65" ht="13.5" customHeight="1">
      <c r="B469" s="1"/>
      <c r="C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H469" s="1"/>
      <c r="BM469" s="1"/>
    </row>
    <row r="470" spans="2:65" ht="13.5" customHeight="1">
      <c r="B470" s="1"/>
      <c r="C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H470" s="1"/>
      <c r="BM470" s="1"/>
    </row>
    <row r="471" spans="2:65" ht="13.5" customHeight="1">
      <c r="B471" s="1"/>
      <c r="C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H471" s="1"/>
      <c r="BM471" s="1"/>
    </row>
    <row r="472" spans="2:65" ht="13.5" customHeight="1">
      <c r="B472" s="1"/>
      <c r="C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H472" s="1"/>
      <c r="BM472" s="1"/>
    </row>
    <row r="473" spans="2:65" ht="13.5" customHeight="1">
      <c r="B473" s="1"/>
      <c r="C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H473" s="1"/>
      <c r="BM473" s="1"/>
    </row>
    <row r="474" spans="2:65" ht="13.5" customHeight="1">
      <c r="B474" s="1"/>
      <c r="C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H474" s="1"/>
      <c r="BM474" s="1"/>
    </row>
    <row r="475" spans="2:65" ht="13.5" customHeight="1">
      <c r="B475" s="1"/>
      <c r="C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H475" s="1"/>
      <c r="BM475" s="1"/>
    </row>
    <row r="476" spans="2:65" ht="13.5" customHeight="1">
      <c r="B476" s="1"/>
      <c r="C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H476" s="1"/>
      <c r="BM476" s="1"/>
    </row>
    <row r="477" spans="2:65" ht="13.5" customHeight="1">
      <c r="B477" s="1"/>
      <c r="C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H477" s="1"/>
      <c r="BM477" s="1"/>
    </row>
    <row r="478" spans="2:65" ht="13.5" customHeight="1">
      <c r="B478" s="1"/>
      <c r="C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H478" s="1"/>
      <c r="BM478" s="1"/>
    </row>
    <row r="479" spans="2:65" ht="13.5" customHeight="1">
      <c r="B479" s="1"/>
      <c r="C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H479" s="1"/>
      <c r="BM479" s="1"/>
    </row>
    <row r="480" spans="2:65" ht="13.5" customHeight="1">
      <c r="B480" s="1"/>
      <c r="C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H480" s="1"/>
      <c r="BM480" s="1"/>
    </row>
    <row r="481" spans="2:65" ht="13.5" customHeight="1">
      <c r="B481" s="1"/>
      <c r="C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H481" s="1"/>
      <c r="BM481" s="1"/>
    </row>
    <row r="482" spans="2:65" ht="13.5" customHeight="1">
      <c r="B482" s="1"/>
      <c r="C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H482" s="1"/>
      <c r="BM482" s="1"/>
    </row>
    <row r="483" spans="2:65" ht="13.5" customHeight="1">
      <c r="B483" s="1"/>
      <c r="C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H483" s="1"/>
      <c r="BM483" s="1"/>
    </row>
    <row r="484" spans="2:65" ht="13.5" customHeight="1">
      <c r="B484" s="1"/>
      <c r="C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H484" s="1"/>
      <c r="BM484" s="1"/>
    </row>
    <row r="485" spans="2:65" ht="13.5" customHeight="1">
      <c r="B485" s="1"/>
      <c r="C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H485" s="1"/>
      <c r="BM485" s="1"/>
    </row>
    <row r="486" spans="2:65" ht="13.5" customHeight="1">
      <c r="B486" s="1"/>
      <c r="C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H486" s="1"/>
      <c r="BM486" s="1"/>
    </row>
    <row r="487" spans="2:65" ht="13.5" customHeight="1">
      <c r="B487" s="1"/>
      <c r="C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H487" s="1"/>
      <c r="BM487" s="1"/>
    </row>
    <row r="488" spans="2:65" ht="13.5" customHeight="1">
      <c r="B488" s="1"/>
      <c r="C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H488" s="1"/>
      <c r="BM488" s="1"/>
    </row>
    <row r="489" spans="2:65" ht="13.5" customHeight="1">
      <c r="B489" s="1"/>
      <c r="C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H489" s="1"/>
      <c r="BM489" s="1"/>
    </row>
    <row r="490" spans="2:65" ht="13.5" customHeight="1">
      <c r="B490" s="1"/>
      <c r="C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H490" s="1"/>
      <c r="BM490" s="1"/>
    </row>
    <row r="491" spans="2:65" ht="13.5" customHeight="1">
      <c r="B491" s="1"/>
      <c r="C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H491" s="1"/>
      <c r="BM491" s="1"/>
    </row>
    <row r="492" spans="2:65" ht="13.5" customHeight="1">
      <c r="B492" s="1"/>
      <c r="C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H492" s="1"/>
      <c r="BM492" s="1"/>
    </row>
    <row r="493" spans="2:65" ht="13.5" customHeight="1">
      <c r="B493" s="1"/>
      <c r="C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H493" s="1"/>
      <c r="BM493" s="1"/>
    </row>
    <row r="494" spans="2:65" ht="13.5" customHeight="1">
      <c r="B494" s="1"/>
      <c r="C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H494" s="1"/>
      <c r="BM494" s="1"/>
    </row>
    <row r="495" spans="2:65" ht="13.5" customHeight="1">
      <c r="B495" s="1"/>
      <c r="C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H495" s="1"/>
      <c r="BM495" s="1"/>
    </row>
    <row r="496" spans="2:65" ht="13.5" customHeight="1">
      <c r="B496" s="1"/>
      <c r="C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H496" s="1"/>
      <c r="BM496" s="1"/>
    </row>
    <row r="497" spans="2:65" ht="13.5" customHeight="1">
      <c r="B497" s="1"/>
      <c r="C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H497" s="1"/>
      <c r="BM497" s="1"/>
    </row>
    <row r="498" spans="2:65" ht="13.5" customHeight="1">
      <c r="B498" s="1"/>
      <c r="C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H498" s="1"/>
      <c r="BM498" s="1"/>
    </row>
    <row r="499" spans="2:65" ht="13.5" customHeight="1">
      <c r="B499" s="1"/>
      <c r="C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H499" s="1"/>
      <c r="BM499" s="1"/>
    </row>
    <row r="500" spans="2:65" ht="13.5" customHeight="1">
      <c r="B500" s="1"/>
      <c r="C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H500" s="1"/>
      <c r="BM500" s="1"/>
    </row>
    <row r="501" spans="2:65" ht="13.5" customHeight="1">
      <c r="B501" s="1"/>
      <c r="C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H501" s="1"/>
      <c r="BM501" s="1"/>
    </row>
    <row r="502" spans="2:65" ht="13.5" customHeight="1">
      <c r="B502" s="1"/>
      <c r="C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H502" s="1"/>
      <c r="BM502" s="1"/>
    </row>
    <row r="503" spans="2:65" ht="13.5" customHeight="1">
      <c r="B503" s="1"/>
      <c r="C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H503" s="1"/>
      <c r="BM503" s="1"/>
    </row>
    <row r="504" spans="2:65" ht="13.5" customHeight="1">
      <c r="B504" s="1"/>
      <c r="C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H504" s="1"/>
      <c r="BM504" s="1"/>
    </row>
    <row r="505" spans="2:65" ht="13.5" customHeight="1">
      <c r="B505" s="1"/>
      <c r="C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H505" s="1"/>
      <c r="BM505" s="1"/>
    </row>
    <row r="506" spans="2:65" ht="13.5" customHeight="1">
      <c r="B506" s="1"/>
      <c r="C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H506" s="1"/>
      <c r="BM506" s="1"/>
    </row>
    <row r="507" spans="2:65" ht="13.5" customHeight="1">
      <c r="B507" s="1"/>
      <c r="C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H507" s="1"/>
      <c r="BM507" s="1"/>
    </row>
    <row r="508" spans="2:65" ht="13.5" customHeight="1">
      <c r="B508" s="1"/>
      <c r="C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H508" s="1"/>
      <c r="BM508" s="1"/>
    </row>
    <row r="509" spans="2:65" ht="13.5" customHeight="1">
      <c r="B509" s="1"/>
      <c r="C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H509" s="1"/>
      <c r="BM509" s="1"/>
    </row>
    <row r="510" spans="2:65" ht="13.5" customHeight="1">
      <c r="B510" s="1"/>
      <c r="C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H510" s="1"/>
      <c r="BM510" s="1"/>
    </row>
    <row r="511" spans="2:65" ht="13.5" customHeight="1">
      <c r="B511" s="1"/>
      <c r="C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H511" s="1"/>
      <c r="BM511" s="1"/>
    </row>
    <row r="512" spans="2:65" ht="13.5" customHeight="1">
      <c r="B512" s="1"/>
      <c r="C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H512" s="1"/>
      <c r="BM512" s="1"/>
    </row>
    <row r="513" spans="2:65" ht="13.5" customHeight="1">
      <c r="B513" s="1"/>
      <c r="C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H513" s="1"/>
      <c r="BM513" s="1"/>
    </row>
    <row r="514" spans="2:65" ht="13.5" customHeight="1">
      <c r="B514" s="1"/>
      <c r="C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H514" s="1"/>
      <c r="BM514" s="1"/>
    </row>
    <row r="515" spans="2:65" ht="13.5" customHeight="1">
      <c r="B515" s="1"/>
      <c r="C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H515" s="1"/>
      <c r="BM515" s="1"/>
    </row>
    <row r="516" spans="2:65" ht="13.5" customHeight="1">
      <c r="B516" s="1"/>
      <c r="C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H516" s="1"/>
      <c r="BM516" s="1"/>
    </row>
    <row r="517" spans="2:65" ht="13.5" customHeight="1">
      <c r="B517" s="1"/>
      <c r="C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H517" s="1"/>
      <c r="BM517" s="1"/>
    </row>
    <row r="518" spans="2:65" ht="13.5" customHeight="1">
      <c r="B518" s="1"/>
      <c r="C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H518" s="1"/>
      <c r="BM518" s="1"/>
    </row>
    <row r="519" spans="2:65" ht="13.5" customHeight="1">
      <c r="B519" s="1"/>
      <c r="C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H519" s="1"/>
      <c r="BM519" s="1"/>
    </row>
    <row r="520" spans="2:65" ht="13.5" customHeight="1">
      <c r="B520" s="1"/>
      <c r="C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H520" s="1"/>
      <c r="BM520" s="1"/>
    </row>
    <row r="521" spans="2:65" ht="13.5" customHeight="1">
      <c r="B521" s="1"/>
      <c r="C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H521" s="1"/>
      <c r="BM521" s="1"/>
    </row>
    <row r="522" spans="2:65" ht="13.5" customHeight="1">
      <c r="B522" s="1"/>
      <c r="C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H522" s="1"/>
      <c r="BM522" s="1"/>
    </row>
    <row r="523" spans="2:65" ht="13.5" customHeight="1">
      <c r="B523" s="1"/>
      <c r="C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H523" s="1"/>
      <c r="BM523" s="1"/>
    </row>
    <row r="524" spans="2:65" ht="13.5" customHeight="1">
      <c r="B524" s="1"/>
      <c r="C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H524" s="1"/>
      <c r="BM524" s="1"/>
    </row>
    <row r="525" spans="2:65" ht="13.5" customHeight="1">
      <c r="B525" s="1"/>
      <c r="C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H525" s="1"/>
      <c r="BM525" s="1"/>
    </row>
    <row r="526" spans="2:65" ht="13.5" customHeight="1">
      <c r="B526" s="1"/>
      <c r="C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H526" s="1"/>
      <c r="BM526" s="1"/>
    </row>
    <row r="527" spans="2:65" ht="13.5" customHeight="1">
      <c r="B527" s="1"/>
      <c r="C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H527" s="1"/>
      <c r="BM527" s="1"/>
    </row>
    <row r="528" spans="2:65" ht="13.5" customHeight="1">
      <c r="B528" s="1"/>
      <c r="C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H528" s="1"/>
      <c r="BM528" s="1"/>
    </row>
    <row r="529" spans="2:65" ht="13.5" customHeight="1">
      <c r="B529" s="1"/>
      <c r="C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H529" s="1"/>
      <c r="BM529" s="1"/>
    </row>
    <row r="530" spans="2:65" ht="13.5" customHeight="1">
      <c r="B530" s="1"/>
      <c r="C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H530" s="1"/>
      <c r="BM530" s="1"/>
    </row>
    <row r="531" spans="2:65" ht="13.5" customHeight="1">
      <c r="B531" s="1"/>
      <c r="C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H531" s="1"/>
      <c r="BM531" s="1"/>
    </row>
    <row r="532" spans="2:65" ht="13.5" customHeight="1">
      <c r="B532" s="1"/>
      <c r="C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H532" s="1"/>
      <c r="BM532" s="1"/>
    </row>
    <row r="533" spans="2:65" ht="13.5" customHeight="1">
      <c r="B533" s="1"/>
      <c r="C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H533" s="1"/>
      <c r="BM533" s="1"/>
    </row>
    <row r="534" spans="2:65" ht="13.5" customHeight="1">
      <c r="B534" s="1"/>
      <c r="C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H534" s="1"/>
      <c r="BM534" s="1"/>
    </row>
    <row r="535" spans="2:65" ht="13.5" customHeight="1">
      <c r="B535" s="1"/>
      <c r="C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H535" s="1"/>
      <c r="BM535" s="1"/>
    </row>
    <row r="536" spans="2:65" ht="13.5" customHeight="1">
      <c r="B536" s="1"/>
      <c r="C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H536" s="1"/>
      <c r="BM536" s="1"/>
    </row>
    <row r="537" spans="2:65" ht="13.5" customHeight="1">
      <c r="B537" s="1"/>
      <c r="C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H537" s="1"/>
      <c r="BM537" s="1"/>
    </row>
    <row r="538" spans="2:65" ht="13.5" customHeight="1">
      <c r="B538" s="1"/>
      <c r="C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H538" s="1"/>
      <c r="BM538" s="1"/>
    </row>
    <row r="539" spans="2:65" ht="13.5" customHeight="1">
      <c r="B539" s="1"/>
      <c r="C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H539" s="1"/>
      <c r="BM539" s="1"/>
    </row>
    <row r="540" spans="2:65" ht="13.5" customHeight="1">
      <c r="B540" s="1"/>
      <c r="C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H540" s="1"/>
      <c r="BM540" s="1"/>
    </row>
    <row r="541" spans="2:65" ht="13.5" customHeight="1">
      <c r="B541" s="1"/>
      <c r="C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H541" s="1"/>
      <c r="BM541" s="1"/>
    </row>
    <row r="542" spans="2:65" ht="13.5" customHeight="1">
      <c r="B542" s="1"/>
      <c r="C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H542" s="1"/>
      <c r="BM542" s="1"/>
    </row>
    <row r="543" spans="2:65" ht="13.5" customHeight="1">
      <c r="B543" s="1"/>
      <c r="C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H543" s="1"/>
      <c r="BM543" s="1"/>
    </row>
    <row r="544" spans="2:65" ht="13.5" customHeight="1">
      <c r="B544" s="1"/>
      <c r="C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H544" s="1"/>
      <c r="BM544" s="1"/>
    </row>
    <row r="545" spans="2:65" ht="13.5" customHeight="1">
      <c r="B545" s="1"/>
      <c r="C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H545" s="1"/>
      <c r="BM545" s="1"/>
    </row>
    <row r="546" spans="2:65" ht="13.5" customHeight="1">
      <c r="B546" s="1"/>
      <c r="C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H546" s="1"/>
      <c r="BM546" s="1"/>
    </row>
    <row r="547" spans="2:65" ht="13.5" customHeight="1">
      <c r="B547" s="1"/>
      <c r="C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H547" s="1"/>
      <c r="BM547" s="1"/>
    </row>
    <row r="548" spans="2:65" ht="13.5" customHeight="1">
      <c r="B548" s="1"/>
      <c r="C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H548" s="1"/>
      <c r="BM548" s="1"/>
    </row>
    <row r="549" spans="2:65" ht="13.5" customHeight="1">
      <c r="B549" s="1"/>
      <c r="C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H549" s="1"/>
      <c r="BM549" s="1"/>
    </row>
    <row r="550" spans="2:65" ht="13.5" customHeight="1">
      <c r="B550" s="1"/>
      <c r="C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H550" s="1"/>
      <c r="BM550" s="1"/>
    </row>
    <row r="551" spans="2:65" ht="13.5" customHeight="1">
      <c r="B551" s="1"/>
      <c r="C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H551" s="1"/>
      <c r="BM551" s="1"/>
    </row>
    <row r="552" spans="2:65" ht="13.5" customHeight="1">
      <c r="B552" s="1"/>
      <c r="C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H552" s="1"/>
      <c r="BM552" s="1"/>
    </row>
    <row r="553" spans="2:65" ht="13.5" customHeight="1">
      <c r="B553" s="1"/>
      <c r="C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H553" s="1"/>
      <c r="BM553" s="1"/>
    </row>
    <row r="554" spans="2:65" ht="13.5" customHeight="1">
      <c r="B554" s="1"/>
      <c r="C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H554" s="1"/>
      <c r="BM554" s="1"/>
    </row>
    <row r="555" spans="2:65" ht="13.5" customHeight="1">
      <c r="B555" s="1"/>
      <c r="C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H555" s="1"/>
      <c r="BM555" s="1"/>
    </row>
    <row r="556" spans="2:65" ht="13.5" customHeight="1">
      <c r="B556" s="1"/>
      <c r="C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H556" s="1"/>
      <c r="BM556" s="1"/>
    </row>
    <row r="557" spans="2:65" ht="13.5" customHeight="1">
      <c r="B557" s="1"/>
      <c r="C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H557" s="1"/>
      <c r="BM557" s="1"/>
    </row>
    <row r="558" spans="2:65" ht="13.5" customHeight="1">
      <c r="B558" s="1"/>
      <c r="C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H558" s="1"/>
      <c r="BM558" s="1"/>
    </row>
    <row r="559" spans="2:65" ht="13.5" customHeight="1">
      <c r="B559" s="1"/>
      <c r="C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H559" s="1"/>
      <c r="BM559" s="1"/>
    </row>
    <row r="560" spans="2:65" ht="13.5" customHeight="1">
      <c r="B560" s="1"/>
      <c r="C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H560" s="1"/>
      <c r="BM560" s="1"/>
    </row>
    <row r="561" spans="2:65" ht="13.5" customHeight="1">
      <c r="B561" s="1"/>
      <c r="C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H561" s="1"/>
      <c r="BM561" s="1"/>
    </row>
    <row r="562" spans="2:65" ht="13.5" customHeight="1">
      <c r="B562" s="1"/>
      <c r="C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H562" s="1"/>
      <c r="BM562" s="1"/>
    </row>
    <row r="563" spans="2:65" ht="13.5" customHeight="1">
      <c r="B563" s="1"/>
      <c r="C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H563" s="1"/>
      <c r="BM563" s="1"/>
    </row>
    <row r="564" spans="2:65" ht="13.5" customHeight="1">
      <c r="B564" s="1"/>
      <c r="C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H564" s="1"/>
      <c r="BM564" s="1"/>
    </row>
    <row r="565" spans="2:65" ht="13.5" customHeight="1">
      <c r="B565" s="1"/>
      <c r="C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H565" s="1"/>
      <c r="BM565" s="1"/>
    </row>
    <row r="566" spans="2:65" ht="13.5" customHeight="1">
      <c r="B566" s="1"/>
      <c r="C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H566" s="1"/>
      <c r="BM566" s="1"/>
    </row>
    <row r="567" spans="2:65" ht="13.5" customHeight="1">
      <c r="B567" s="1"/>
      <c r="C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H567" s="1"/>
      <c r="BM567" s="1"/>
    </row>
    <row r="568" spans="2:65" ht="13.5" customHeight="1">
      <c r="B568" s="1"/>
      <c r="C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H568" s="1"/>
      <c r="BM568" s="1"/>
    </row>
    <row r="569" spans="2:65" ht="13.5" customHeight="1">
      <c r="B569" s="1"/>
      <c r="C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H569" s="1"/>
      <c r="BM569" s="1"/>
    </row>
    <row r="570" spans="2:65" ht="13.5" customHeight="1">
      <c r="B570" s="1"/>
      <c r="C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H570" s="1"/>
      <c r="BM570" s="1"/>
    </row>
    <row r="571" spans="2:65" ht="13.5" customHeight="1">
      <c r="B571" s="1"/>
      <c r="C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H571" s="1"/>
      <c r="BM571" s="1"/>
    </row>
    <row r="572" spans="2:65" ht="13.5" customHeight="1">
      <c r="B572" s="1"/>
      <c r="C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H572" s="1"/>
      <c r="BM572" s="1"/>
    </row>
    <row r="573" spans="2:65" ht="13.5" customHeight="1">
      <c r="B573" s="1"/>
      <c r="C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H573" s="1"/>
      <c r="BM573" s="1"/>
    </row>
    <row r="574" spans="2:65" ht="13.5" customHeight="1">
      <c r="B574" s="1"/>
      <c r="C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H574" s="1"/>
      <c r="BM574" s="1"/>
    </row>
    <row r="575" spans="2:65" ht="13.5" customHeight="1">
      <c r="B575" s="1"/>
      <c r="C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H575" s="1"/>
      <c r="BM575" s="1"/>
    </row>
    <row r="576" spans="2:65" ht="13.5" customHeight="1">
      <c r="B576" s="1"/>
      <c r="C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H576" s="1"/>
      <c r="BM576" s="1"/>
    </row>
    <row r="577" spans="2:65" ht="13.5" customHeight="1">
      <c r="B577" s="1"/>
      <c r="C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H577" s="1"/>
      <c r="BM577" s="1"/>
    </row>
    <row r="578" spans="2:65" ht="13.5" customHeight="1">
      <c r="B578" s="1"/>
      <c r="C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H578" s="1"/>
      <c r="BM578" s="1"/>
    </row>
    <row r="579" spans="2:65" ht="13.5" customHeight="1">
      <c r="B579" s="1"/>
      <c r="C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H579" s="1"/>
      <c r="BM579" s="1"/>
    </row>
    <row r="580" spans="2:65" ht="13.5" customHeight="1">
      <c r="B580" s="1"/>
      <c r="C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H580" s="1"/>
      <c r="BM580" s="1"/>
    </row>
    <row r="581" spans="2:65" ht="13.5" customHeight="1">
      <c r="B581" s="1"/>
      <c r="C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H581" s="1"/>
      <c r="BM581" s="1"/>
    </row>
    <row r="582" spans="2:65" ht="13.5" customHeight="1">
      <c r="B582" s="1"/>
      <c r="C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H582" s="1"/>
      <c r="BM582" s="1"/>
    </row>
    <row r="583" spans="2:65" ht="13.5" customHeight="1">
      <c r="B583" s="1"/>
      <c r="C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H583" s="1"/>
      <c r="BM583" s="1"/>
    </row>
    <row r="584" spans="2:65" ht="13.5" customHeight="1">
      <c r="B584" s="1"/>
      <c r="C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H584" s="1"/>
      <c r="BM584" s="1"/>
    </row>
    <row r="585" spans="2:65" ht="13.5" customHeight="1">
      <c r="B585" s="1"/>
      <c r="C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H585" s="1"/>
      <c r="BM585" s="1"/>
    </row>
    <row r="586" spans="2:65" ht="13.5" customHeight="1">
      <c r="B586" s="1"/>
      <c r="C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H586" s="1"/>
      <c r="BM586" s="1"/>
    </row>
    <row r="587" spans="2:65" ht="13.5" customHeight="1">
      <c r="B587" s="1"/>
      <c r="C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H587" s="1"/>
      <c r="BM587" s="1"/>
    </row>
    <row r="588" spans="2:65" ht="13.5" customHeight="1">
      <c r="B588" s="1"/>
      <c r="C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H588" s="1"/>
      <c r="BM588" s="1"/>
    </row>
    <row r="589" spans="2:65" ht="13.5" customHeight="1">
      <c r="B589" s="1"/>
      <c r="C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H589" s="1"/>
      <c r="BM589" s="1"/>
    </row>
    <row r="590" spans="2:65" ht="13.5" customHeight="1">
      <c r="B590" s="1"/>
      <c r="C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H590" s="1"/>
      <c r="BM590" s="1"/>
    </row>
    <row r="591" spans="2:65" ht="13.5" customHeight="1">
      <c r="B591" s="1"/>
      <c r="C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H591" s="1"/>
      <c r="BM591" s="1"/>
    </row>
    <row r="592" spans="2:65" ht="13.5" customHeight="1">
      <c r="B592" s="1"/>
      <c r="C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H592" s="1"/>
      <c r="BM592" s="1"/>
    </row>
    <row r="593" spans="2:65" ht="13.5" customHeight="1">
      <c r="B593" s="1"/>
      <c r="C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H593" s="1"/>
      <c r="BM593" s="1"/>
    </row>
    <row r="594" spans="2:65" ht="13.5" customHeight="1">
      <c r="B594" s="1"/>
      <c r="C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H594" s="1"/>
      <c r="BM594" s="1"/>
    </row>
    <row r="595" spans="2:65" ht="13.5" customHeight="1">
      <c r="B595" s="1"/>
      <c r="C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H595" s="1"/>
      <c r="BM595" s="1"/>
    </row>
    <row r="596" spans="2:65" ht="13.5" customHeight="1">
      <c r="B596" s="1"/>
      <c r="C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H596" s="1"/>
      <c r="BM596" s="1"/>
    </row>
    <row r="597" spans="2:65" ht="13.5" customHeight="1">
      <c r="B597" s="1"/>
      <c r="C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H597" s="1"/>
      <c r="BM597" s="1"/>
    </row>
    <row r="598" spans="2:65" ht="13.5" customHeight="1">
      <c r="B598" s="1"/>
      <c r="C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H598" s="1"/>
      <c r="BM598" s="1"/>
    </row>
    <row r="599" spans="2:65" ht="13.5" customHeight="1">
      <c r="B599" s="1"/>
      <c r="C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H599" s="1"/>
      <c r="BM599" s="1"/>
    </row>
    <row r="600" spans="2:65" ht="13.5" customHeight="1">
      <c r="B600" s="1"/>
      <c r="C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H600" s="1"/>
      <c r="BM600" s="1"/>
    </row>
    <row r="601" spans="2:65" ht="13.5" customHeight="1">
      <c r="B601" s="1"/>
      <c r="C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H601" s="1"/>
      <c r="BM601" s="1"/>
    </row>
    <row r="602" spans="2:65" ht="13.5" customHeight="1">
      <c r="B602" s="1"/>
      <c r="C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H602" s="1"/>
      <c r="BM602" s="1"/>
    </row>
    <row r="603" spans="2:65" ht="13.5" customHeight="1">
      <c r="B603" s="1"/>
      <c r="C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H603" s="1"/>
      <c r="BM603" s="1"/>
    </row>
    <row r="604" spans="2:65" ht="13.5" customHeight="1">
      <c r="B604" s="1"/>
      <c r="C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H604" s="1"/>
      <c r="BM604" s="1"/>
    </row>
    <row r="605" spans="2:65" ht="13.5" customHeight="1">
      <c r="B605" s="1"/>
      <c r="C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H605" s="1"/>
      <c r="BM605" s="1"/>
    </row>
    <row r="606" spans="2:65" ht="13.5" customHeight="1">
      <c r="B606" s="1"/>
      <c r="C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H606" s="1"/>
      <c r="BM606" s="1"/>
    </row>
    <row r="607" spans="2:65" ht="13.5" customHeight="1">
      <c r="B607" s="1"/>
      <c r="C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H607" s="1"/>
      <c r="BM607" s="1"/>
    </row>
    <row r="608" spans="2:65" ht="13.5" customHeight="1">
      <c r="B608" s="1"/>
      <c r="C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H608" s="1"/>
      <c r="BM608" s="1"/>
    </row>
    <row r="609" spans="2:65" ht="13.5" customHeight="1">
      <c r="B609" s="1"/>
      <c r="C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H609" s="1"/>
      <c r="BM609" s="1"/>
    </row>
    <row r="610" spans="2:65" ht="13.5" customHeight="1">
      <c r="B610" s="1"/>
      <c r="C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H610" s="1"/>
      <c r="BM610" s="1"/>
    </row>
    <row r="611" spans="2:65" ht="13.5" customHeight="1">
      <c r="B611" s="1"/>
      <c r="C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H611" s="1"/>
      <c r="BM611" s="1"/>
    </row>
    <row r="612" spans="2:65" ht="13.5" customHeight="1">
      <c r="B612" s="1"/>
      <c r="C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H612" s="1"/>
      <c r="BM612" s="1"/>
    </row>
    <row r="613" spans="2:65" ht="13.5" customHeight="1">
      <c r="B613" s="1"/>
      <c r="C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H613" s="1"/>
      <c r="BM613" s="1"/>
    </row>
    <row r="614" spans="2:65" ht="13.5" customHeight="1">
      <c r="B614" s="1"/>
      <c r="C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H614" s="1"/>
      <c r="BM614" s="1"/>
    </row>
    <row r="615" spans="2:65" ht="13.5" customHeight="1">
      <c r="B615" s="1"/>
      <c r="C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H615" s="1"/>
      <c r="BM615" s="1"/>
    </row>
    <row r="616" spans="2:65" ht="13.5" customHeight="1">
      <c r="B616" s="1"/>
      <c r="C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H616" s="1"/>
      <c r="BM616" s="1"/>
    </row>
    <row r="617" spans="2:65" ht="13.5" customHeight="1">
      <c r="B617" s="1"/>
      <c r="C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H617" s="1"/>
      <c r="BM617" s="1"/>
    </row>
    <row r="618" spans="2:65" ht="13.5" customHeight="1">
      <c r="B618" s="1"/>
      <c r="C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H618" s="1"/>
      <c r="BM618" s="1"/>
    </row>
    <row r="619" spans="2:65" ht="13.5" customHeight="1">
      <c r="B619" s="1"/>
      <c r="C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H619" s="1"/>
      <c r="BM619" s="1"/>
    </row>
    <row r="620" spans="2:65" ht="13.5" customHeight="1">
      <c r="B620" s="1"/>
      <c r="C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H620" s="1"/>
      <c r="BM620" s="1"/>
    </row>
    <row r="621" spans="2:65" ht="13.5" customHeight="1">
      <c r="B621" s="1"/>
      <c r="C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H621" s="1"/>
      <c r="BM621" s="1"/>
    </row>
    <row r="622" spans="2:65" ht="13.5" customHeight="1">
      <c r="B622" s="1"/>
      <c r="C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H622" s="1"/>
      <c r="BM622" s="1"/>
    </row>
    <row r="623" spans="2:65" ht="13.5" customHeight="1">
      <c r="B623" s="1"/>
      <c r="C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H623" s="1"/>
      <c r="BM623" s="1"/>
    </row>
    <row r="624" spans="2:65" ht="13.5" customHeight="1">
      <c r="B624" s="1"/>
      <c r="C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H624" s="1"/>
      <c r="BM624" s="1"/>
    </row>
    <row r="625" spans="2:65" ht="13.5" customHeight="1">
      <c r="B625" s="1"/>
      <c r="C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H625" s="1"/>
      <c r="BM625" s="1"/>
    </row>
    <row r="626" spans="2:65" ht="13.5" customHeight="1">
      <c r="B626" s="1"/>
      <c r="C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H626" s="1"/>
      <c r="BM626" s="1"/>
    </row>
    <row r="627" spans="2:65" ht="13.5" customHeight="1">
      <c r="B627" s="1"/>
      <c r="C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H627" s="1"/>
      <c r="BM627" s="1"/>
    </row>
    <row r="628" spans="2:65" ht="13.5" customHeight="1">
      <c r="B628" s="1"/>
      <c r="C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H628" s="1"/>
      <c r="BM628" s="1"/>
    </row>
    <row r="629" spans="2:65" ht="13.5" customHeight="1">
      <c r="B629" s="1"/>
      <c r="C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H629" s="1"/>
      <c r="BM629" s="1"/>
    </row>
    <row r="630" spans="2:65" ht="13.5" customHeight="1">
      <c r="B630" s="1"/>
      <c r="C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H630" s="1"/>
      <c r="BM630" s="1"/>
    </row>
    <row r="631" spans="2:65" ht="13.5" customHeight="1">
      <c r="B631" s="1"/>
      <c r="C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H631" s="1"/>
      <c r="BM631" s="1"/>
    </row>
    <row r="632" spans="2:65" ht="13.5" customHeight="1">
      <c r="B632" s="1"/>
      <c r="C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H632" s="1"/>
      <c r="BM632" s="1"/>
    </row>
    <row r="633" spans="2:65" ht="13.5" customHeight="1">
      <c r="B633" s="1"/>
      <c r="C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H633" s="1"/>
      <c r="BM633" s="1"/>
    </row>
    <row r="634" spans="2:65" ht="13.5" customHeight="1">
      <c r="B634" s="1"/>
      <c r="C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H634" s="1"/>
      <c r="BM634" s="1"/>
    </row>
    <row r="635" spans="2:65" ht="13.5" customHeight="1">
      <c r="B635" s="1"/>
      <c r="C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H635" s="1"/>
      <c r="BM635" s="1"/>
    </row>
    <row r="636" spans="2:65" ht="13.5" customHeight="1">
      <c r="B636" s="1"/>
      <c r="C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H636" s="1"/>
      <c r="BM636" s="1"/>
    </row>
    <row r="637" spans="2:65" ht="13.5" customHeight="1">
      <c r="B637" s="1"/>
      <c r="C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H637" s="1"/>
      <c r="BM637" s="1"/>
    </row>
    <row r="638" spans="2:65" ht="13.5" customHeight="1">
      <c r="B638" s="1"/>
      <c r="C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H638" s="1"/>
      <c r="BM638" s="1"/>
    </row>
    <row r="639" spans="2:65" ht="13.5" customHeight="1">
      <c r="B639" s="1"/>
      <c r="C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H639" s="1"/>
      <c r="BM639" s="1"/>
    </row>
    <row r="640" spans="2:65" ht="13.5" customHeight="1">
      <c r="B640" s="1"/>
      <c r="C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H640" s="1"/>
      <c r="BM640" s="1"/>
    </row>
    <row r="641" spans="2:65" ht="13.5" customHeight="1">
      <c r="B641" s="1"/>
      <c r="C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H641" s="1"/>
      <c r="BM641" s="1"/>
    </row>
    <row r="642" spans="2:65" ht="13.5" customHeight="1">
      <c r="B642" s="1"/>
      <c r="C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H642" s="1"/>
      <c r="BM642" s="1"/>
    </row>
    <row r="643" spans="2:65" ht="13.5" customHeight="1">
      <c r="B643" s="1"/>
      <c r="C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H643" s="1"/>
      <c r="BM643" s="1"/>
    </row>
    <row r="644" spans="2:65" ht="13.5" customHeight="1">
      <c r="B644" s="1"/>
      <c r="C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H644" s="1"/>
      <c r="BM644" s="1"/>
    </row>
    <row r="645" spans="2:65" ht="13.5" customHeight="1">
      <c r="B645" s="1"/>
      <c r="C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H645" s="1"/>
      <c r="BM645" s="1"/>
    </row>
    <row r="646" spans="2:65" ht="13.5" customHeight="1">
      <c r="B646" s="1"/>
      <c r="C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H646" s="1"/>
      <c r="BM646" s="1"/>
    </row>
    <row r="647" spans="2:65" ht="13.5" customHeight="1">
      <c r="B647" s="1"/>
      <c r="C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H647" s="1"/>
      <c r="BM647" s="1"/>
    </row>
    <row r="648" spans="2:65" ht="13.5" customHeight="1">
      <c r="B648" s="1"/>
      <c r="C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H648" s="1"/>
      <c r="BM648" s="1"/>
    </row>
    <row r="649" spans="2:65" ht="13.5" customHeight="1">
      <c r="B649" s="1"/>
      <c r="C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H649" s="1"/>
      <c r="BM649" s="1"/>
    </row>
    <row r="650" spans="2:65" ht="13.5" customHeight="1">
      <c r="B650" s="1"/>
      <c r="C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H650" s="1"/>
      <c r="BM650" s="1"/>
    </row>
    <row r="651" spans="2:65" ht="13.5" customHeight="1">
      <c r="B651" s="1"/>
      <c r="C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H651" s="1"/>
      <c r="BM651" s="1"/>
    </row>
    <row r="652" spans="2:65" ht="13.5" customHeight="1">
      <c r="B652" s="1"/>
      <c r="C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H652" s="1"/>
      <c r="BM652" s="1"/>
    </row>
    <row r="653" spans="2:65" ht="13.5" customHeight="1">
      <c r="B653" s="1"/>
      <c r="C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H653" s="1"/>
      <c r="BM653" s="1"/>
    </row>
    <row r="654" spans="2:65" ht="13.5" customHeight="1">
      <c r="B654" s="1"/>
      <c r="C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H654" s="1"/>
      <c r="BM654" s="1"/>
    </row>
    <row r="655" spans="2:65" ht="13.5" customHeight="1">
      <c r="B655" s="1"/>
      <c r="C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H655" s="1"/>
      <c r="BM655" s="1"/>
    </row>
    <row r="656" spans="2:65" ht="13.5" customHeight="1">
      <c r="B656" s="1"/>
      <c r="C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H656" s="1"/>
      <c r="BM656" s="1"/>
    </row>
    <row r="657" spans="2:65" ht="13.5" customHeight="1">
      <c r="B657" s="1"/>
      <c r="C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H657" s="1"/>
      <c r="BM657" s="1"/>
    </row>
    <row r="658" spans="2:65" ht="13.5" customHeight="1">
      <c r="B658" s="1"/>
      <c r="C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H658" s="1"/>
      <c r="BM658" s="1"/>
    </row>
    <row r="659" spans="2:65" ht="13.5" customHeight="1">
      <c r="B659" s="1"/>
      <c r="C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H659" s="1"/>
      <c r="BM659" s="1"/>
    </row>
    <row r="660" spans="2:65" ht="13.5" customHeight="1">
      <c r="B660" s="1"/>
      <c r="C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H660" s="1"/>
      <c r="BM660" s="1"/>
    </row>
    <row r="661" spans="2:65" ht="13.5" customHeight="1">
      <c r="B661" s="1"/>
      <c r="C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H661" s="1"/>
      <c r="BM661" s="1"/>
    </row>
    <row r="662" spans="2:65" ht="13.5" customHeight="1">
      <c r="B662" s="1"/>
      <c r="C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H662" s="1"/>
      <c r="BM662" s="1"/>
    </row>
    <row r="663" spans="2:65" ht="13.5" customHeight="1">
      <c r="B663" s="1"/>
      <c r="C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H663" s="1"/>
      <c r="BM663" s="1"/>
    </row>
    <row r="664" spans="2:65" ht="13.5" customHeight="1">
      <c r="B664" s="1"/>
      <c r="C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H664" s="1"/>
      <c r="BM664" s="1"/>
    </row>
    <row r="665" spans="2:65" ht="13.5" customHeight="1">
      <c r="B665" s="1"/>
      <c r="C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H665" s="1"/>
      <c r="BM665" s="1"/>
    </row>
    <row r="666" spans="2:65" ht="13.5" customHeight="1">
      <c r="B666" s="1"/>
      <c r="C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H666" s="1"/>
      <c r="BM666" s="1"/>
    </row>
    <row r="667" spans="2:65" ht="13.5" customHeight="1">
      <c r="B667" s="1"/>
      <c r="C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H667" s="1"/>
      <c r="BM667" s="1"/>
    </row>
    <row r="668" spans="2:65" ht="13.5" customHeight="1">
      <c r="B668" s="1"/>
      <c r="C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H668" s="1"/>
      <c r="BM668" s="1"/>
    </row>
    <row r="669" spans="2:65" ht="13.5" customHeight="1">
      <c r="B669" s="1"/>
      <c r="C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H669" s="1"/>
      <c r="BM669" s="1"/>
    </row>
    <row r="670" spans="2:65" ht="13.5" customHeight="1">
      <c r="B670" s="1"/>
      <c r="C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H670" s="1"/>
      <c r="BM670" s="1"/>
    </row>
    <row r="671" spans="2:65" ht="13.5" customHeight="1">
      <c r="B671" s="1"/>
      <c r="C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H671" s="1"/>
      <c r="BM671" s="1"/>
    </row>
    <row r="672" spans="2:65" ht="13.5" customHeight="1">
      <c r="B672" s="1"/>
      <c r="C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H672" s="1"/>
      <c r="BM672" s="1"/>
    </row>
    <row r="673" spans="2:65" ht="13.5" customHeight="1">
      <c r="B673" s="1"/>
      <c r="C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H673" s="1"/>
      <c r="BM673" s="1"/>
    </row>
    <row r="674" spans="2:65" ht="13.5" customHeight="1">
      <c r="B674" s="1"/>
      <c r="C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H674" s="1"/>
      <c r="BM674" s="1"/>
    </row>
    <row r="675" spans="2:65" ht="13.5" customHeight="1">
      <c r="B675" s="1"/>
      <c r="C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H675" s="1"/>
      <c r="BM675" s="1"/>
    </row>
    <row r="676" spans="2:65" ht="13.5" customHeight="1">
      <c r="B676" s="1"/>
      <c r="C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H676" s="1"/>
      <c r="BM676" s="1"/>
    </row>
    <row r="677" spans="2:65" ht="13.5" customHeight="1">
      <c r="B677" s="1"/>
      <c r="C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H677" s="1"/>
      <c r="BM677" s="1"/>
    </row>
    <row r="678" spans="2:65" ht="13.5" customHeight="1">
      <c r="B678" s="1"/>
      <c r="C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H678" s="1"/>
      <c r="BM678" s="1"/>
    </row>
    <row r="679" spans="2:65" ht="13.5" customHeight="1">
      <c r="B679" s="1"/>
      <c r="C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H679" s="1"/>
      <c r="BM679" s="1"/>
    </row>
    <row r="680" spans="2:65" ht="13.5" customHeight="1">
      <c r="B680" s="1"/>
      <c r="C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H680" s="1"/>
      <c r="BM680" s="1"/>
    </row>
    <row r="681" spans="2:65" ht="13.5" customHeight="1">
      <c r="B681" s="1"/>
      <c r="C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H681" s="1"/>
      <c r="BM681" s="1"/>
    </row>
    <row r="682" spans="2:65" ht="13.5" customHeight="1">
      <c r="B682" s="1"/>
      <c r="C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H682" s="1"/>
      <c r="BM682" s="1"/>
    </row>
    <row r="683" spans="2:65" ht="13.5" customHeight="1">
      <c r="B683" s="1"/>
      <c r="C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H683" s="1"/>
      <c r="BM683" s="1"/>
    </row>
    <row r="684" spans="2:65" ht="13.5" customHeight="1">
      <c r="B684" s="1"/>
      <c r="C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H684" s="1"/>
      <c r="BM684" s="1"/>
    </row>
    <row r="685" spans="2:65" ht="13.5" customHeight="1">
      <c r="B685" s="1"/>
      <c r="C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H685" s="1"/>
      <c r="BM685" s="1"/>
    </row>
    <row r="686" spans="2:65" ht="13.5" customHeight="1">
      <c r="B686" s="1"/>
      <c r="C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H686" s="1"/>
      <c r="BM686" s="1"/>
    </row>
    <row r="687" spans="2:65" ht="13.5" customHeight="1">
      <c r="B687" s="1"/>
      <c r="C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H687" s="1"/>
      <c r="BM687" s="1"/>
    </row>
    <row r="688" spans="2:65" ht="13.5" customHeight="1">
      <c r="B688" s="1"/>
      <c r="C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H688" s="1"/>
      <c r="BM688" s="1"/>
    </row>
    <row r="689" spans="2:65" ht="13.5" customHeight="1">
      <c r="B689" s="1"/>
      <c r="C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H689" s="1"/>
      <c r="BM689" s="1"/>
    </row>
    <row r="690" spans="2:65" ht="13.5" customHeight="1">
      <c r="B690" s="1"/>
      <c r="C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H690" s="1"/>
      <c r="BM690" s="1"/>
    </row>
    <row r="691" spans="2:65" ht="13.5" customHeight="1">
      <c r="B691" s="1"/>
      <c r="C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H691" s="1"/>
      <c r="BM691" s="1"/>
    </row>
    <row r="692" spans="2:65" ht="13.5" customHeight="1">
      <c r="B692" s="1"/>
      <c r="C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H692" s="1"/>
      <c r="BM692" s="1"/>
    </row>
    <row r="693" spans="2:65" ht="13.5" customHeight="1">
      <c r="B693" s="1"/>
      <c r="C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H693" s="1"/>
      <c r="BM693" s="1"/>
    </row>
    <row r="694" spans="2:65" ht="13.5" customHeight="1">
      <c r="B694" s="1"/>
      <c r="C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H694" s="1"/>
      <c r="BM694" s="1"/>
    </row>
    <row r="695" spans="2:65" ht="13.5" customHeight="1">
      <c r="B695" s="1"/>
      <c r="C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H695" s="1"/>
      <c r="BM695" s="1"/>
    </row>
    <row r="696" spans="2:65" ht="13.5" customHeight="1">
      <c r="B696" s="1"/>
      <c r="C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H696" s="1"/>
      <c r="BM696" s="1"/>
    </row>
    <row r="697" spans="2:65" ht="13.5" customHeight="1">
      <c r="B697" s="1"/>
      <c r="C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H697" s="1"/>
      <c r="BM697" s="1"/>
    </row>
    <row r="698" spans="2:65" ht="13.5" customHeight="1">
      <c r="B698" s="1"/>
      <c r="C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H698" s="1"/>
      <c r="BM698" s="1"/>
    </row>
    <row r="699" spans="2:65" ht="13.5" customHeight="1">
      <c r="B699" s="1"/>
      <c r="C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H699" s="1"/>
      <c r="BM699" s="1"/>
    </row>
    <row r="700" spans="2:65" ht="13.5" customHeight="1">
      <c r="B700" s="1"/>
      <c r="C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H700" s="1"/>
      <c r="BM700" s="1"/>
    </row>
    <row r="701" spans="2:65" ht="13.5" customHeight="1">
      <c r="B701" s="1"/>
      <c r="C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H701" s="1"/>
      <c r="BM701" s="1"/>
    </row>
    <row r="702" spans="2:65" ht="13.5" customHeight="1">
      <c r="B702" s="1"/>
      <c r="C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H702" s="1"/>
      <c r="BM702" s="1"/>
    </row>
    <row r="703" spans="2:65" ht="13.5" customHeight="1">
      <c r="B703" s="1"/>
      <c r="C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H703" s="1"/>
      <c r="BM703" s="1"/>
    </row>
    <row r="704" spans="2:65" ht="13.5" customHeight="1">
      <c r="B704" s="1"/>
      <c r="C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H704" s="1"/>
      <c r="BM704" s="1"/>
    </row>
    <row r="705" spans="2:65" ht="13.5" customHeight="1">
      <c r="B705" s="1"/>
      <c r="C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H705" s="1"/>
      <c r="BM705" s="1"/>
    </row>
    <row r="706" spans="2:65" ht="13.5" customHeight="1">
      <c r="B706" s="1"/>
      <c r="C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H706" s="1"/>
      <c r="BM706" s="1"/>
    </row>
    <row r="707" spans="2:65" ht="13.5" customHeight="1">
      <c r="B707" s="1"/>
      <c r="C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H707" s="1"/>
      <c r="BM707" s="1"/>
    </row>
    <row r="708" spans="2:65" ht="13.5" customHeight="1">
      <c r="B708" s="1"/>
      <c r="C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H708" s="1"/>
      <c r="BM708" s="1"/>
    </row>
    <row r="709" spans="2:65" ht="13.5" customHeight="1">
      <c r="B709" s="1"/>
      <c r="C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H709" s="1"/>
      <c r="BM709" s="1"/>
    </row>
    <row r="710" spans="2:65" ht="13.5" customHeight="1">
      <c r="B710" s="1"/>
      <c r="C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H710" s="1"/>
      <c r="BM710" s="1"/>
    </row>
    <row r="711" spans="2:65" ht="13.5" customHeight="1">
      <c r="B711" s="1"/>
      <c r="C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H711" s="1"/>
      <c r="BM711" s="1"/>
    </row>
    <row r="712" spans="2:65" ht="13.5" customHeight="1">
      <c r="B712" s="1"/>
      <c r="C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H712" s="1"/>
      <c r="BM712" s="1"/>
    </row>
    <row r="713" spans="2:65" ht="13.5" customHeight="1">
      <c r="B713" s="1"/>
      <c r="C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H713" s="1"/>
      <c r="BM713" s="1"/>
    </row>
    <row r="714" spans="2:65" ht="13.5" customHeight="1">
      <c r="B714" s="1"/>
      <c r="C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H714" s="1"/>
      <c r="BM714" s="1"/>
    </row>
    <row r="715" spans="2:65" ht="13.5" customHeight="1">
      <c r="B715" s="1"/>
      <c r="C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H715" s="1"/>
      <c r="BM715" s="1"/>
    </row>
    <row r="716" spans="2:65" ht="13.5" customHeight="1">
      <c r="B716" s="1"/>
      <c r="C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H716" s="1"/>
      <c r="BM716" s="1"/>
    </row>
    <row r="717" spans="2:65" ht="13.5" customHeight="1">
      <c r="B717" s="1"/>
      <c r="C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H717" s="1"/>
      <c r="BM717" s="1"/>
    </row>
    <row r="718" spans="2:65" ht="13.5" customHeight="1">
      <c r="B718" s="1"/>
      <c r="C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H718" s="1"/>
      <c r="BM718" s="1"/>
    </row>
    <row r="719" spans="2:65" ht="13.5" customHeight="1">
      <c r="B719" s="1"/>
      <c r="C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H719" s="1"/>
      <c r="BM719" s="1"/>
    </row>
    <row r="720" spans="2:65" ht="13.5" customHeight="1">
      <c r="B720" s="1"/>
      <c r="C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H720" s="1"/>
      <c r="BM720" s="1"/>
    </row>
    <row r="721" spans="2:65" ht="13.5" customHeight="1">
      <c r="B721" s="1"/>
      <c r="C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H721" s="1"/>
      <c r="BM721" s="1"/>
    </row>
    <row r="722" spans="2:65" ht="13.5" customHeight="1">
      <c r="B722" s="1"/>
      <c r="C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H722" s="1"/>
      <c r="BM722" s="1"/>
    </row>
    <row r="723" spans="2:65" ht="13.5" customHeight="1">
      <c r="B723" s="1"/>
      <c r="C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H723" s="1"/>
      <c r="BM723" s="1"/>
    </row>
    <row r="724" spans="2:65" ht="13.5" customHeight="1">
      <c r="B724" s="1"/>
      <c r="C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H724" s="1"/>
      <c r="BM724" s="1"/>
    </row>
    <row r="725" spans="2:65" ht="13.5" customHeight="1">
      <c r="B725" s="1"/>
      <c r="C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H725" s="1"/>
      <c r="BM725" s="1"/>
    </row>
    <row r="726" spans="2:65" ht="13.5" customHeight="1">
      <c r="B726" s="1"/>
      <c r="C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H726" s="1"/>
      <c r="BM726" s="1"/>
    </row>
    <row r="727" spans="2:65" ht="13.5" customHeight="1">
      <c r="B727" s="1"/>
      <c r="C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H727" s="1"/>
      <c r="BM727" s="1"/>
    </row>
    <row r="728" spans="2:65" ht="13.5" customHeight="1">
      <c r="B728" s="1"/>
      <c r="C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H728" s="1"/>
      <c r="BM728" s="1"/>
    </row>
    <row r="729" spans="2:65" ht="13.5" customHeight="1">
      <c r="B729" s="1"/>
      <c r="C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H729" s="1"/>
      <c r="BM729" s="1"/>
    </row>
    <row r="730" spans="2:65" ht="13.5" customHeight="1">
      <c r="B730" s="1"/>
      <c r="C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H730" s="1"/>
      <c r="BM730" s="1"/>
    </row>
    <row r="731" spans="2:65" ht="13.5" customHeight="1">
      <c r="B731" s="1"/>
      <c r="C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H731" s="1"/>
      <c r="BM731" s="1"/>
    </row>
    <row r="732" spans="2:65" ht="13.5" customHeight="1">
      <c r="B732" s="1"/>
      <c r="C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H732" s="1"/>
      <c r="BM732" s="1"/>
    </row>
    <row r="733" spans="2:65" ht="13.5" customHeight="1">
      <c r="B733" s="1"/>
      <c r="C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H733" s="1"/>
      <c r="BM733" s="1"/>
    </row>
    <row r="734" spans="2:65" ht="13.5" customHeight="1">
      <c r="B734" s="1"/>
      <c r="C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H734" s="1"/>
      <c r="BM734" s="1"/>
    </row>
    <row r="735" spans="2:65" ht="13.5" customHeight="1">
      <c r="B735" s="1"/>
      <c r="C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H735" s="1"/>
      <c r="BM735" s="1"/>
    </row>
    <row r="736" spans="2:65" ht="13.5" customHeight="1">
      <c r="B736" s="1"/>
      <c r="C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H736" s="1"/>
      <c r="BM736" s="1"/>
    </row>
    <row r="737" spans="2:65" ht="13.5" customHeight="1">
      <c r="B737" s="1"/>
      <c r="C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H737" s="1"/>
      <c r="BM737" s="1"/>
    </row>
    <row r="738" spans="2:65" ht="13.5" customHeight="1">
      <c r="B738" s="1"/>
      <c r="C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H738" s="1"/>
      <c r="BM738" s="1"/>
    </row>
    <row r="739" spans="2:65" ht="13.5" customHeight="1">
      <c r="B739" s="1"/>
      <c r="C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H739" s="1"/>
      <c r="BM739" s="1"/>
    </row>
    <row r="740" spans="2:65" ht="13.5" customHeight="1">
      <c r="B740" s="1"/>
      <c r="C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H740" s="1"/>
      <c r="BM740" s="1"/>
    </row>
    <row r="741" spans="2:65" ht="13.5" customHeight="1">
      <c r="B741" s="1"/>
      <c r="C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H741" s="1"/>
      <c r="BM741" s="1"/>
    </row>
    <row r="742" spans="2:65" ht="13.5" customHeight="1">
      <c r="B742" s="1"/>
      <c r="C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H742" s="1"/>
      <c r="BM742" s="1"/>
    </row>
    <row r="743" spans="2:65" ht="13.5" customHeight="1">
      <c r="B743" s="1"/>
      <c r="C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H743" s="1"/>
      <c r="BM743" s="1"/>
    </row>
    <row r="744" spans="2:65" ht="13.5" customHeight="1">
      <c r="B744" s="1"/>
      <c r="C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H744" s="1"/>
      <c r="BM744" s="1"/>
    </row>
    <row r="745" spans="2:65" ht="13.5" customHeight="1">
      <c r="B745" s="1"/>
      <c r="C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H745" s="1"/>
      <c r="BM745" s="1"/>
    </row>
    <row r="746" spans="2:65" ht="13.5" customHeight="1">
      <c r="B746" s="1"/>
      <c r="C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H746" s="1"/>
      <c r="BM746" s="1"/>
    </row>
    <row r="747" spans="2:65" ht="13.5" customHeight="1">
      <c r="B747" s="1"/>
      <c r="C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H747" s="1"/>
      <c r="BM747" s="1"/>
    </row>
    <row r="748" spans="2:65" ht="13.5" customHeight="1">
      <c r="B748" s="1"/>
      <c r="C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H748" s="1"/>
      <c r="BM748" s="1"/>
    </row>
    <row r="749" spans="2:65" ht="13.5" customHeight="1">
      <c r="B749" s="1"/>
      <c r="C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H749" s="1"/>
      <c r="BM749" s="1"/>
    </row>
    <row r="750" spans="2:65" ht="13.5" customHeight="1">
      <c r="B750" s="1"/>
      <c r="C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H750" s="1"/>
      <c r="BM750" s="1"/>
    </row>
    <row r="751" spans="2:65" ht="13.5" customHeight="1">
      <c r="B751" s="1"/>
      <c r="C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H751" s="1"/>
      <c r="BM751" s="1"/>
    </row>
    <row r="752" spans="2:65" ht="13.5" customHeight="1">
      <c r="B752" s="1"/>
      <c r="C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H752" s="1"/>
      <c r="BM752" s="1"/>
    </row>
    <row r="753" spans="2:65" ht="13.5" customHeight="1">
      <c r="B753" s="1"/>
      <c r="C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H753" s="1"/>
      <c r="BM753" s="1"/>
    </row>
    <row r="754" spans="2:65" ht="13.5" customHeight="1">
      <c r="B754" s="1"/>
      <c r="C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H754" s="1"/>
      <c r="BM754" s="1"/>
    </row>
    <row r="755" spans="2:65" ht="13.5" customHeight="1">
      <c r="B755" s="1"/>
      <c r="C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H755" s="1"/>
      <c r="BM755" s="1"/>
    </row>
    <row r="756" spans="2:65" ht="13.5" customHeight="1">
      <c r="B756" s="1"/>
      <c r="C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H756" s="1"/>
      <c r="BM756" s="1"/>
    </row>
    <row r="757" spans="2:65" ht="13.5" customHeight="1">
      <c r="B757" s="1"/>
      <c r="C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H757" s="1"/>
      <c r="BM757" s="1"/>
    </row>
    <row r="758" spans="2:65" ht="13.5" customHeight="1">
      <c r="B758" s="1"/>
      <c r="C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H758" s="1"/>
      <c r="BM758" s="1"/>
    </row>
    <row r="759" spans="2:65" ht="13.5" customHeight="1">
      <c r="B759" s="1"/>
      <c r="C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H759" s="1"/>
      <c r="BM759" s="1"/>
    </row>
    <row r="760" spans="2:65" ht="13.5" customHeight="1">
      <c r="B760" s="1"/>
      <c r="C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H760" s="1"/>
      <c r="BM760" s="1"/>
    </row>
    <row r="761" spans="2:65" ht="13.5" customHeight="1">
      <c r="B761" s="1"/>
      <c r="C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H761" s="1"/>
      <c r="BM761" s="1"/>
    </row>
    <row r="762" spans="2:65" ht="13.5" customHeight="1">
      <c r="B762" s="1"/>
      <c r="C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H762" s="1"/>
      <c r="BM762" s="1"/>
    </row>
    <row r="763" spans="2:65" ht="13.5" customHeight="1">
      <c r="B763" s="1"/>
      <c r="C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H763" s="1"/>
      <c r="BM763" s="1"/>
    </row>
    <row r="764" spans="2:65" ht="13.5" customHeight="1">
      <c r="B764" s="1"/>
      <c r="C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H764" s="1"/>
      <c r="BM764" s="1"/>
    </row>
    <row r="765" spans="2:65" ht="13.5" customHeight="1">
      <c r="B765" s="1"/>
      <c r="C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H765" s="1"/>
      <c r="BM765" s="1"/>
    </row>
    <row r="766" spans="2:65" ht="13.5" customHeight="1">
      <c r="B766" s="1"/>
      <c r="C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H766" s="1"/>
      <c r="BM766" s="1"/>
    </row>
    <row r="767" spans="2:65" ht="13.5" customHeight="1">
      <c r="B767" s="1"/>
      <c r="C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H767" s="1"/>
      <c r="BM767" s="1"/>
    </row>
    <row r="768" spans="2:65" ht="13.5" customHeight="1">
      <c r="B768" s="1"/>
      <c r="C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H768" s="1"/>
      <c r="BM768" s="1"/>
    </row>
    <row r="769" spans="2:65" ht="13.5" customHeight="1">
      <c r="B769" s="1"/>
      <c r="C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H769" s="1"/>
      <c r="BM769" s="1"/>
    </row>
    <row r="770" spans="2:65" ht="13.5" customHeight="1">
      <c r="B770" s="1"/>
      <c r="C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H770" s="1"/>
      <c r="BM770" s="1"/>
    </row>
    <row r="771" spans="2:65" ht="13.5" customHeight="1">
      <c r="B771" s="1"/>
      <c r="C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H771" s="1"/>
      <c r="BM771" s="1"/>
    </row>
    <row r="772" spans="2:65" ht="13.5" customHeight="1">
      <c r="B772" s="1"/>
      <c r="C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H772" s="1"/>
      <c r="BM772" s="1"/>
    </row>
    <row r="773" spans="2:65" ht="13.5" customHeight="1">
      <c r="B773" s="1"/>
      <c r="C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H773" s="1"/>
      <c r="BM773" s="1"/>
    </row>
    <row r="774" spans="2:65" ht="13.5" customHeight="1">
      <c r="B774" s="1"/>
      <c r="C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H774" s="1"/>
      <c r="BM774" s="1"/>
    </row>
    <row r="775" spans="2:65" ht="13.5" customHeight="1">
      <c r="B775" s="1"/>
      <c r="C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H775" s="1"/>
      <c r="BM775" s="1"/>
    </row>
    <row r="776" spans="2:65" ht="13.5" customHeight="1">
      <c r="B776" s="1"/>
      <c r="C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H776" s="1"/>
      <c r="BM776" s="1"/>
    </row>
    <row r="777" spans="2:65" ht="13.5" customHeight="1">
      <c r="B777" s="1"/>
      <c r="C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H777" s="1"/>
      <c r="BM777" s="1"/>
    </row>
    <row r="778" spans="2:65" ht="13.5" customHeight="1">
      <c r="B778" s="1"/>
      <c r="C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H778" s="1"/>
      <c r="BM778" s="1"/>
    </row>
    <row r="779" spans="2:65" ht="13.5" customHeight="1">
      <c r="B779" s="1"/>
      <c r="C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H779" s="1"/>
      <c r="BM779" s="1"/>
    </row>
    <row r="780" spans="2:65" ht="13.5" customHeight="1">
      <c r="B780" s="1"/>
      <c r="C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H780" s="1"/>
      <c r="BM780" s="1"/>
    </row>
    <row r="781" spans="2:65" ht="13.5" customHeight="1">
      <c r="B781" s="1"/>
      <c r="C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H781" s="1"/>
      <c r="BM781" s="1"/>
    </row>
    <row r="782" spans="2:65" ht="13.5" customHeight="1">
      <c r="B782" s="1"/>
      <c r="C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H782" s="1"/>
      <c r="BM782" s="1"/>
    </row>
    <row r="783" spans="2:65" ht="13.5" customHeight="1">
      <c r="B783" s="1"/>
      <c r="C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H783" s="1"/>
      <c r="BM783" s="1"/>
    </row>
    <row r="784" spans="2:65" ht="13.5" customHeight="1">
      <c r="B784" s="1"/>
      <c r="C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H784" s="1"/>
      <c r="BM784" s="1"/>
    </row>
    <row r="785" spans="2:65" ht="13.5" customHeight="1">
      <c r="B785" s="1"/>
      <c r="C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H785" s="1"/>
      <c r="BM785" s="1"/>
    </row>
    <row r="786" spans="2:65" ht="13.5" customHeight="1">
      <c r="B786" s="1"/>
      <c r="C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H786" s="1"/>
      <c r="BM786" s="1"/>
    </row>
    <row r="787" spans="2:65" ht="13.5" customHeight="1">
      <c r="B787" s="1"/>
      <c r="C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H787" s="1"/>
      <c r="BM787" s="1"/>
    </row>
    <row r="788" spans="2:65" ht="13.5" customHeight="1">
      <c r="B788" s="1"/>
      <c r="C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H788" s="1"/>
      <c r="BM788" s="1"/>
    </row>
    <row r="789" spans="2:65" ht="13.5" customHeight="1">
      <c r="B789" s="1"/>
      <c r="C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H789" s="1"/>
      <c r="BM789" s="1"/>
    </row>
    <row r="790" spans="2:65" ht="13.5" customHeight="1">
      <c r="B790" s="1"/>
      <c r="C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H790" s="1"/>
      <c r="BM790" s="1"/>
    </row>
    <row r="791" spans="2:65" ht="13.5" customHeight="1">
      <c r="B791" s="1"/>
      <c r="C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H791" s="1"/>
      <c r="BM791" s="1"/>
    </row>
    <row r="792" spans="2:65" ht="13.5" customHeight="1">
      <c r="B792" s="1"/>
      <c r="C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H792" s="1"/>
      <c r="BM792" s="1"/>
    </row>
    <row r="793" spans="2:65" ht="13.5" customHeight="1">
      <c r="B793" s="1"/>
      <c r="C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H793" s="1"/>
      <c r="BM793" s="1"/>
    </row>
    <row r="794" spans="2:65" ht="13.5" customHeight="1">
      <c r="B794" s="1"/>
      <c r="C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H794" s="1"/>
      <c r="BM794" s="1"/>
    </row>
    <row r="795" spans="2:65" ht="13.5" customHeight="1">
      <c r="B795" s="1"/>
      <c r="C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H795" s="1"/>
      <c r="BM795" s="1"/>
    </row>
    <row r="796" spans="2:65" ht="13.5" customHeight="1">
      <c r="B796" s="1"/>
      <c r="C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H796" s="1"/>
      <c r="BM796" s="1"/>
    </row>
    <row r="797" spans="2:65" ht="13.5" customHeight="1">
      <c r="B797" s="1"/>
      <c r="C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H797" s="1"/>
      <c r="BM797" s="1"/>
    </row>
    <row r="798" spans="2:65" ht="13.5" customHeight="1">
      <c r="B798" s="1"/>
      <c r="C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H798" s="1"/>
      <c r="BM798" s="1"/>
    </row>
    <row r="799" spans="2:65" ht="13.5" customHeight="1">
      <c r="B799" s="1"/>
      <c r="C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H799" s="1"/>
      <c r="BM799" s="1"/>
    </row>
    <row r="800" spans="2:65" ht="13.5" customHeight="1">
      <c r="B800" s="1"/>
      <c r="C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H800" s="1"/>
      <c r="BM800" s="1"/>
    </row>
    <row r="801" spans="2:65" ht="13.5" customHeight="1">
      <c r="B801" s="1"/>
      <c r="C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H801" s="1"/>
      <c r="BM801" s="1"/>
    </row>
    <row r="802" spans="2:65" ht="13.5" customHeight="1">
      <c r="B802" s="1"/>
      <c r="C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H802" s="1"/>
      <c r="BM802" s="1"/>
    </row>
    <row r="803" spans="2:65" ht="13.5" customHeight="1">
      <c r="B803" s="1"/>
      <c r="C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H803" s="1"/>
      <c r="BM803" s="1"/>
    </row>
    <row r="804" spans="2:65" ht="13.5" customHeight="1">
      <c r="B804" s="1"/>
      <c r="C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H804" s="1"/>
      <c r="BM804" s="1"/>
    </row>
    <row r="805" spans="2:65" ht="13.5" customHeight="1">
      <c r="B805" s="1"/>
      <c r="C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H805" s="1"/>
      <c r="BM805" s="1"/>
    </row>
    <row r="806" spans="2:65" ht="13.5" customHeight="1">
      <c r="B806" s="1"/>
      <c r="C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H806" s="1"/>
      <c r="BM806" s="1"/>
    </row>
    <row r="807" spans="2:65" ht="13.5" customHeight="1">
      <c r="B807" s="1"/>
      <c r="C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H807" s="1"/>
      <c r="BM807" s="1"/>
    </row>
    <row r="808" spans="2:65" ht="13.5" customHeight="1">
      <c r="B808" s="1"/>
      <c r="C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H808" s="1"/>
      <c r="BM808" s="1"/>
    </row>
    <row r="809" spans="2:65" ht="13.5" customHeight="1">
      <c r="B809" s="1"/>
      <c r="C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H809" s="1"/>
      <c r="BM809" s="1"/>
    </row>
    <row r="810" spans="2:65" ht="13.5" customHeight="1">
      <c r="B810" s="1"/>
      <c r="C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H810" s="1"/>
      <c r="BM810" s="1"/>
    </row>
    <row r="811" spans="2:65" ht="13.5" customHeight="1">
      <c r="B811" s="1"/>
      <c r="C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H811" s="1"/>
      <c r="BM811" s="1"/>
    </row>
    <row r="812" spans="2:65" ht="13.5" customHeight="1">
      <c r="B812" s="1"/>
      <c r="C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H812" s="1"/>
      <c r="BM812" s="1"/>
    </row>
    <row r="813" spans="2:65" ht="13.5" customHeight="1">
      <c r="B813" s="1"/>
      <c r="C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H813" s="1"/>
      <c r="BM813" s="1"/>
    </row>
    <row r="814" spans="2:65" ht="13.5" customHeight="1">
      <c r="B814" s="1"/>
      <c r="C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H814" s="1"/>
      <c r="BM814" s="1"/>
    </row>
    <row r="815" spans="2:65" ht="13.5" customHeight="1">
      <c r="B815" s="1"/>
      <c r="C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H815" s="1"/>
      <c r="BM815" s="1"/>
    </row>
    <row r="816" spans="2:65" ht="13.5" customHeight="1">
      <c r="B816" s="1"/>
      <c r="C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H816" s="1"/>
      <c r="BM816" s="1"/>
    </row>
    <row r="817" spans="2:65" ht="13.5" customHeight="1">
      <c r="B817" s="1"/>
      <c r="C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H817" s="1"/>
      <c r="BM817" s="1"/>
    </row>
    <row r="818" spans="2:65" ht="13.5" customHeight="1">
      <c r="B818" s="1"/>
      <c r="C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H818" s="1"/>
      <c r="BM818" s="1"/>
    </row>
    <row r="819" spans="2:65" ht="13.5" customHeight="1">
      <c r="B819" s="1"/>
      <c r="C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H819" s="1"/>
      <c r="BM819" s="1"/>
    </row>
    <row r="820" spans="2:65" ht="13.5" customHeight="1">
      <c r="B820" s="1"/>
      <c r="C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H820" s="1"/>
      <c r="BM820" s="1"/>
    </row>
    <row r="821" spans="2:65" ht="13.5" customHeight="1">
      <c r="B821" s="1"/>
      <c r="C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H821" s="1"/>
      <c r="BM821" s="1"/>
    </row>
    <row r="822" spans="2:65" ht="13.5" customHeight="1">
      <c r="B822" s="1"/>
      <c r="C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H822" s="1"/>
      <c r="BM822" s="1"/>
    </row>
    <row r="823" spans="2:65" ht="13.5" customHeight="1">
      <c r="B823" s="1"/>
      <c r="C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H823" s="1"/>
      <c r="BM823" s="1"/>
    </row>
    <row r="824" spans="2:65" ht="13.5" customHeight="1">
      <c r="B824" s="1"/>
      <c r="C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H824" s="1"/>
      <c r="BM824" s="1"/>
    </row>
    <row r="825" spans="2:65" ht="13.5" customHeight="1">
      <c r="B825" s="1"/>
      <c r="C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H825" s="1"/>
      <c r="BM825" s="1"/>
    </row>
    <row r="826" spans="2:65" ht="13.5" customHeight="1">
      <c r="B826" s="1"/>
      <c r="C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H826" s="1"/>
      <c r="BM826" s="1"/>
    </row>
    <row r="827" spans="2:65" ht="13.5" customHeight="1">
      <c r="B827" s="1"/>
      <c r="C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H827" s="1"/>
      <c r="BM827" s="1"/>
    </row>
    <row r="828" spans="2:65" ht="13.5" customHeight="1">
      <c r="B828" s="1"/>
      <c r="C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H828" s="1"/>
      <c r="BM828" s="1"/>
    </row>
    <row r="829" spans="2:65" ht="13.5" customHeight="1">
      <c r="B829" s="1"/>
      <c r="C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H829" s="1"/>
      <c r="BM829" s="1"/>
    </row>
    <row r="830" spans="2:65" ht="13.5" customHeight="1">
      <c r="B830" s="1"/>
      <c r="C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H830" s="1"/>
      <c r="BM830" s="1"/>
    </row>
    <row r="831" spans="2:65" ht="13.5" customHeight="1">
      <c r="B831" s="1"/>
      <c r="C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H831" s="1"/>
      <c r="BM831" s="1"/>
    </row>
    <row r="832" spans="2:65" ht="13.5" customHeight="1">
      <c r="B832" s="1"/>
      <c r="C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H832" s="1"/>
      <c r="BM832" s="1"/>
    </row>
    <row r="833" spans="2:65" ht="13.5" customHeight="1">
      <c r="B833" s="1"/>
      <c r="C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H833" s="1"/>
      <c r="BM833" s="1"/>
    </row>
    <row r="834" spans="2:65" ht="13.5" customHeight="1">
      <c r="B834" s="1"/>
      <c r="C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H834" s="1"/>
      <c r="BM834" s="1"/>
    </row>
    <row r="835" spans="2:65" ht="13.5" customHeight="1">
      <c r="B835" s="1"/>
      <c r="C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H835" s="1"/>
      <c r="BM835" s="1"/>
    </row>
    <row r="836" spans="2:65" ht="13.5" customHeight="1">
      <c r="B836" s="1"/>
      <c r="C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H836" s="1"/>
      <c r="BM836" s="1"/>
    </row>
    <row r="837" spans="2:65" ht="13.5" customHeight="1">
      <c r="B837" s="1"/>
      <c r="C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H837" s="1"/>
      <c r="BM837" s="1"/>
    </row>
    <row r="838" spans="2:65" ht="13.5" customHeight="1">
      <c r="B838" s="1"/>
      <c r="C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H838" s="1"/>
      <c r="BM838" s="1"/>
    </row>
    <row r="839" spans="2:65" ht="13.5" customHeight="1">
      <c r="B839" s="1"/>
      <c r="C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H839" s="1"/>
      <c r="BM839" s="1"/>
    </row>
    <row r="840" spans="2:65" ht="13.5" customHeight="1">
      <c r="B840" s="1"/>
      <c r="C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H840" s="1"/>
      <c r="BM840" s="1"/>
    </row>
    <row r="841" spans="2:65" ht="13.5" customHeight="1">
      <c r="B841" s="1"/>
      <c r="C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H841" s="1"/>
      <c r="BM841" s="1"/>
    </row>
    <row r="842" spans="2:65" ht="13.5" customHeight="1">
      <c r="B842" s="1"/>
      <c r="C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H842" s="1"/>
      <c r="BM842" s="1"/>
    </row>
    <row r="843" spans="2:65" ht="13.5" customHeight="1">
      <c r="B843" s="1"/>
      <c r="C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H843" s="1"/>
      <c r="BM843" s="1"/>
    </row>
    <row r="844" spans="2:65" ht="13.5" customHeight="1">
      <c r="B844" s="1"/>
      <c r="C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H844" s="1"/>
      <c r="BM844" s="1"/>
    </row>
    <row r="845" spans="2:65" ht="13.5" customHeight="1">
      <c r="B845" s="1"/>
      <c r="C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H845" s="1"/>
      <c r="BM845" s="1"/>
    </row>
    <row r="846" spans="2:65" ht="13.5" customHeight="1">
      <c r="B846" s="1"/>
      <c r="C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H846" s="1"/>
      <c r="BM846" s="1"/>
    </row>
    <row r="847" spans="2:65" ht="13.5" customHeight="1">
      <c r="B847" s="1"/>
      <c r="C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H847" s="1"/>
      <c r="BM847" s="1"/>
    </row>
    <row r="848" spans="2:65" ht="13.5" customHeight="1">
      <c r="B848" s="1"/>
      <c r="C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H848" s="1"/>
      <c r="BM848" s="1"/>
    </row>
    <row r="849" spans="2:65" ht="13.5" customHeight="1">
      <c r="B849" s="1"/>
      <c r="C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H849" s="1"/>
      <c r="BM849" s="1"/>
    </row>
    <row r="850" spans="2:65" ht="13.5" customHeight="1">
      <c r="B850" s="1"/>
      <c r="C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H850" s="1"/>
      <c r="BM850" s="1"/>
    </row>
    <row r="851" spans="2:65" ht="13.5" customHeight="1">
      <c r="B851" s="1"/>
      <c r="C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H851" s="1"/>
      <c r="BM851" s="1"/>
    </row>
    <row r="852" spans="2:65" ht="13.5" customHeight="1">
      <c r="B852" s="1"/>
      <c r="C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H852" s="1"/>
      <c r="BM852" s="1"/>
    </row>
    <row r="853" spans="2:65" ht="13.5" customHeight="1">
      <c r="B853" s="1"/>
      <c r="C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H853" s="1"/>
      <c r="BM853" s="1"/>
    </row>
    <row r="854" spans="2:65" ht="13.5" customHeight="1">
      <c r="B854" s="1"/>
      <c r="C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H854" s="1"/>
      <c r="BM854" s="1"/>
    </row>
    <row r="855" spans="2:65" ht="13.5" customHeight="1">
      <c r="B855" s="1"/>
      <c r="C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H855" s="1"/>
      <c r="BM855" s="1"/>
    </row>
    <row r="856" spans="2:65" ht="13.5" customHeight="1">
      <c r="B856" s="1"/>
      <c r="C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H856" s="1"/>
      <c r="BM856" s="1"/>
    </row>
    <row r="857" spans="2:65" ht="13.5" customHeight="1">
      <c r="B857" s="1"/>
      <c r="C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H857" s="1"/>
      <c r="BM857" s="1"/>
    </row>
    <row r="858" spans="2:65" ht="13.5" customHeight="1">
      <c r="B858" s="1"/>
      <c r="C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H858" s="1"/>
      <c r="BM858" s="1"/>
    </row>
    <row r="859" spans="2:65" ht="13.5" customHeight="1">
      <c r="B859" s="1"/>
      <c r="C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H859" s="1"/>
      <c r="BM859" s="1"/>
    </row>
    <row r="860" spans="2:65" ht="13.5" customHeight="1">
      <c r="B860" s="1"/>
      <c r="C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H860" s="1"/>
      <c r="BM860" s="1"/>
    </row>
    <row r="861" spans="2:65" ht="13.5" customHeight="1">
      <c r="B861" s="1"/>
      <c r="C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H861" s="1"/>
      <c r="BM861" s="1"/>
    </row>
    <row r="862" spans="2:65" ht="13.5" customHeight="1">
      <c r="B862" s="1"/>
      <c r="C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H862" s="1"/>
      <c r="BM862" s="1"/>
    </row>
    <row r="863" spans="2:65" ht="13.5" customHeight="1">
      <c r="B863" s="1"/>
      <c r="C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H863" s="1"/>
      <c r="BM863" s="1"/>
    </row>
    <row r="864" spans="2:65" ht="13.5" customHeight="1">
      <c r="B864" s="1"/>
      <c r="C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H864" s="1"/>
      <c r="BM864" s="1"/>
    </row>
    <row r="865" spans="2:65" ht="13.5" customHeight="1">
      <c r="B865" s="1"/>
      <c r="C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H865" s="1"/>
      <c r="BM865" s="1"/>
    </row>
    <row r="866" spans="2:65" ht="13.5" customHeight="1">
      <c r="B866" s="1"/>
      <c r="C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H866" s="1"/>
      <c r="BM866" s="1"/>
    </row>
    <row r="867" spans="2:65" ht="13.5" customHeight="1">
      <c r="B867" s="1"/>
      <c r="C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H867" s="1"/>
      <c r="BM867" s="1"/>
    </row>
    <row r="868" spans="2:65" ht="13.5" customHeight="1">
      <c r="B868" s="1"/>
      <c r="C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H868" s="1"/>
      <c r="BM868" s="1"/>
    </row>
    <row r="869" spans="2:65" ht="13.5" customHeight="1">
      <c r="B869" s="1"/>
      <c r="C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H869" s="1"/>
      <c r="BM869" s="1"/>
    </row>
    <row r="870" spans="2:65" ht="13.5" customHeight="1">
      <c r="B870" s="1"/>
      <c r="C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H870" s="1"/>
      <c r="BM870" s="1"/>
    </row>
    <row r="871" spans="2:65" ht="13.5" customHeight="1">
      <c r="B871" s="1"/>
      <c r="C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H871" s="1"/>
      <c r="BM871" s="1"/>
    </row>
    <row r="872" spans="2:65" ht="13.5" customHeight="1">
      <c r="B872" s="1"/>
      <c r="C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H872" s="1"/>
      <c r="BM872" s="1"/>
    </row>
    <row r="873" spans="2:65" ht="13.5" customHeight="1">
      <c r="B873" s="1"/>
      <c r="C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H873" s="1"/>
      <c r="BM873" s="1"/>
    </row>
    <row r="874" spans="2:65" ht="13.5" customHeight="1">
      <c r="B874" s="1"/>
      <c r="C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H874" s="1"/>
      <c r="BM874" s="1"/>
    </row>
    <row r="875" spans="2:65" ht="13.5" customHeight="1">
      <c r="B875" s="1"/>
      <c r="C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H875" s="1"/>
      <c r="BM875" s="1"/>
    </row>
    <row r="876" spans="2:65" ht="13.5" customHeight="1">
      <c r="B876" s="1"/>
      <c r="C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H876" s="1"/>
      <c r="BM876" s="1"/>
    </row>
    <row r="877" spans="2:65" ht="13.5" customHeight="1">
      <c r="B877" s="1"/>
      <c r="C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H877" s="1"/>
      <c r="BM877" s="1"/>
    </row>
    <row r="878" spans="2:65" ht="13.5" customHeight="1">
      <c r="B878" s="1"/>
      <c r="C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H878" s="1"/>
      <c r="BM878" s="1"/>
    </row>
    <row r="879" spans="2:65" ht="13.5" customHeight="1">
      <c r="B879" s="1"/>
      <c r="C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H879" s="1"/>
      <c r="BM879" s="1"/>
    </row>
    <row r="880" spans="2:65" ht="13.5" customHeight="1">
      <c r="B880" s="1"/>
      <c r="C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H880" s="1"/>
      <c r="BM880" s="1"/>
    </row>
    <row r="881" spans="2:65" ht="13.5" customHeight="1">
      <c r="B881" s="1"/>
      <c r="C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H881" s="1"/>
      <c r="BM881" s="1"/>
    </row>
    <row r="882" spans="2:65" ht="13.5" customHeight="1">
      <c r="B882" s="1"/>
      <c r="C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H882" s="1"/>
      <c r="BM882" s="1"/>
    </row>
    <row r="883" spans="2:65" ht="13.5" customHeight="1">
      <c r="B883" s="1"/>
      <c r="C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H883" s="1"/>
      <c r="BM883" s="1"/>
    </row>
    <row r="884" spans="2:65" ht="13.5" customHeight="1">
      <c r="B884" s="1"/>
      <c r="C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H884" s="1"/>
      <c r="BM884" s="1"/>
    </row>
    <row r="885" spans="2:65" ht="13.5" customHeight="1">
      <c r="B885" s="1"/>
      <c r="C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H885" s="1"/>
      <c r="BM885" s="1"/>
    </row>
    <row r="886" spans="2:65" ht="13.5" customHeight="1">
      <c r="B886" s="1"/>
      <c r="C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H886" s="1"/>
      <c r="BM886" s="1"/>
    </row>
    <row r="887" spans="2:65" ht="13.5" customHeight="1">
      <c r="B887" s="1"/>
      <c r="C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H887" s="1"/>
      <c r="BM887" s="1"/>
    </row>
    <row r="888" spans="2:65" ht="13.5" customHeight="1">
      <c r="B888" s="1"/>
      <c r="C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H888" s="1"/>
      <c r="BM888" s="1"/>
    </row>
    <row r="889" spans="2:65" ht="13.5" customHeight="1">
      <c r="B889" s="1"/>
      <c r="C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H889" s="1"/>
      <c r="BM889" s="1"/>
    </row>
    <row r="890" spans="2:65" ht="13.5" customHeight="1">
      <c r="B890" s="1"/>
      <c r="C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H890" s="1"/>
      <c r="BM890" s="1"/>
    </row>
    <row r="891" spans="2:65" ht="13.5" customHeight="1">
      <c r="B891" s="1"/>
      <c r="C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H891" s="1"/>
      <c r="BM891" s="1"/>
    </row>
    <row r="892" spans="2:65" ht="13.5" customHeight="1">
      <c r="B892" s="1"/>
      <c r="C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H892" s="1"/>
      <c r="BM892" s="1"/>
    </row>
    <row r="893" spans="2:65" ht="13.5" customHeight="1">
      <c r="B893" s="1"/>
      <c r="C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H893" s="1"/>
      <c r="BM893" s="1"/>
    </row>
    <row r="894" spans="2:65" ht="13.5" customHeight="1">
      <c r="B894" s="1"/>
      <c r="C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H894" s="1"/>
      <c r="BM894" s="1"/>
    </row>
    <row r="895" spans="2:65" ht="13.5" customHeight="1">
      <c r="B895" s="1"/>
      <c r="C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H895" s="1"/>
      <c r="BM895" s="1"/>
    </row>
    <row r="896" spans="2:65" ht="13.5" customHeight="1">
      <c r="B896" s="1"/>
      <c r="C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H896" s="1"/>
      <c r="BM896" s="1"/>
    </row>
    <row r="897" spans="2:65" ht="13.5" customHeight="1">
      <c r="B897" s="1"/>
      <c r="C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H897" s="1"/>
      <c r="BM897" s="1"/>
    </row>
    <row r="898" spans="2:65" ht="13.5" customHeight="1">
      <c r="B898" s="1"/>
      <c r="C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H898" s="1"/>
      <c r="BM898" s="1"/>
    </row>
    <row r="899" spans="2:65" ht="13.5" customHeight="1">
      <c r="B899" s="1"/>
      <c r="C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H899" s="1"/>
      <c r="BM899" s="1"/>
    </row>
    <row r="900" spans="2:65" ht="13.5" customHeight="1">
      <c r="B900" s="1"/>
      <c r="C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H900" s="1"/>
      <c r="BM900" s="1"/>
    </row>
    <row r="901" spans="2:65" ht="13.5" customHeight="1">
      <c r="B901" s="1"/>
      <c r="C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H901" s="1"/>
      <c r="BM901" s="1"/>
    </row>
    <row r="902" spans="2:65" ht="13.5" customHeight="1">
      <c r="B902" s="1"/>
      <c r="C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H902" s="1"/>
      <c r="BM902" s="1"/>
    </row>
    <row r="903" spans="2:65" ht="13.5" customHeight="1">
      <c r="B903" s="1"/>
      <c r="C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H903" s="1"/>
      <c r="BM903" s="1"/>
    </row>
    <row r="904" spans="2:65" ht="13.5" customHeight="1">
      <c r="B904" s="1"/>
      <c r="C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H904" s="1"/>
      <c r="BM904" s="1"/>
    </row>
    <row r="905" spans="2:65" ht="13.5" customHeight="1">
      <c r="B905" s="1"/>
      <c r="C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H905" s="1"/>
      <c r="BM905" s="1"/>
    </row>
    <row r="906" spans="2:65" ht="13.5" customHeight="1">
      <c r="B906" s="1"/>
      <c r="C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H906" s="1"/>
      <c r="BM906" s="1"/>
    </row>
    <row r="907" spans="2:65" ht="13.5" customHeight="1">
      <c r="B907" s="1"/>
      <c r="C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H907" s="1"/>
      <c r="BM907" s="1"/>
    </row>
    <row r="908" spans="2:65" ht="13.5" customHeight="1">
      <c r="B908" s="1"/>
      <c r="C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H908" s="1"/>
      <c r="BM908" s="1"/>
    </row>
    <row r="909" spans="2:65" ht="13.5" customHeight="1">
      <c r="B909" s="1"/>
      <c r="C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H909" s="1"/>
      <c r="BM909" s="1"/>
    </row>
    <row r="910" spans="2:65" ht="13.5" customHeight="1">
      <c r="B910" s="1"/>
      <c r="C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H910" s="1"/>
      <c r="BM910" s="1"/>
    </row>
    <row r="911" spans="2:65" ht="13.5" customHeight="1">
      <c r="B911" s="1"/>
      <c r="C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H911" s="1"/>
      <c r="BM911" s="1"/>
    </row>
    <row r="912" spans="2:65" ht="13.5" customHeight="1">
      <c r="B912" s="1"/>
      <c r="C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H912" s="1"/>
      <c r="BM912" s="1"/>
    </row>
    <row r="913" spans="2:65" ht="13.5" customHeight="1">
      <c r="B913" s="1"/>
      <c r="C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H913" s="1"/>
      <c r="BM913" s="1"/>
    </row>
    <row r="914" spans="2:65" ht="13.5" customHeight="1">
      <c r="B914" s="1"/>
      <c r="C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H914" s="1"/>
      <c r="BM914" s="1"/>
    </row>
    <row r="915" spans="2:65" ht="13.5" customHeight="1">
      <c r="B915" s="1"/>
      <c r="C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H915" s="1"/>
      <c r="BM915" s="1"/>
    </row>
    <row r="916" spans="2:65" ht="13.5" customHeight="1">
      <c r="B916" s="1"/>
      <c r="C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H916" s="1"/>
      <c r="BM916" s="1"/>
    </row>
    <row r="917" spans="2:65" ht="13.5" customHeight="1">
      <c r="B917" s="1"/>
      <c r="C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H917" s="1"/>
      <c r="BM917" s="1"/>
    </row>
    <row r="918" spans="2:65" ht="13.5" customHeight="1">
      <c r="B918" s="1"/>
      <c r="C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H918" s="1"/>
      <c r="BM918" s="1"/>
    </row>
    <row r="919" spans="2:65" ht="13.5" customHeight="1">
      <c r="B919" s="1"/>
      <c r="C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H919" s="1"/>
      <c r="BM919" s="1"/>
    </row>
    <row r="920" spans="2:65" ht="13.5" customHeight="1">
      <c r="B920" s="1"/>
      <c r="C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H920" s="1"/>
      <c r="BM920" s="1"/>
    </row>
    <row r="921" spans="2:65" ht="13.5" customHeight="1">
      <c r="B921" s="1"/>
      <c r="C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H921" s="1"/>
      <c r="BM921" s="1"/>
    </row>
    <row r="922" spans="2:65" ht="13.5" customHeight="1">
      <c r="B922" s="1"/>
      <c r="C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H922" s="1"/>
      <c r="BM922" s="1"/>
    </row>
    <row r="923" spans="2:65" ht="13.5" customHeight="1">
      <c r="B923" s="1"/>
      <c r="C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H923" s="1"/>
      <c r="BM923" s="1"/>
    </row>
    <row r="924" spans="2:65" ht="13.5" customHeight="1">
      <c r="B924" s="1"/>
      <c r="C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H924" s="1"/>
      <c r="BM924" s="1"/>
    </row>
    <row r="925" spans="2:65" ht="13.5" customHeight="1">
      <c r="B925" s="1"/>
      <c r="C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H925" s="1"/>
      <c r="BM925" s="1"/>
    </row>
    <row r="926" spans="2:65" ht="13.5" customHeight="1">
      <c r="B926" s="1"/>
      <c r="C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H926" s="1"/>
      <c r="BM926" s="1"/>
    </row>
    <row r="927" spans="2:65" ht="13.5" customHeight="1">
      <c r="B927" s="1"/>
      <c r="C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H927" s="1"/>
      <c r="BM927" s="1"/>
    </row>
    <row r="928" spans="2:65" ht="13.5" customHeight="1">
      <c r="B928" s="1"/>
      <c r="C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H928" s="1"/>
      <c r="BM928" s="1"/>
    </row>
    <row r="929" spans="2:65" ht="13.5" customHeight="1">
      <c r="B929" s="1"/>
      <c r="C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H929" s="1"/>
      <c r="BM929" s="1"/>
    </row>
    <row r="930" spans="2:65" ht="13.5" customHeight="1">
      <c r="B930" s="1"/>
      <c r="C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H930" s="1"/>
      <c r="BM930" s="1"/>
    </row>
    <row r="931" spans="2:65" ht="13.5" customHeight="1">
      <c r="B931" s="1"/>
      <c r="C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H931" s="1"/>
      <c r="BM931" s="1"/>
    </row>
    <row r="932" spans="2:65" ht="13.5" customHeight="1">
      <c r="B932" s="1"/>
      <c r="C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H932" s="1"/>
      <c r="BM932" s="1"/>
    </row>
    <row r="933" spans="2:65" ht="13.5" customHeight="1">
      <c r="B933" s="1"/>
      <c r="C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H933" s="1"/>
      <c r="BM933" s="1"/>
    </row>
    <row r="934" spans="2:65" ht="13.5" customHeight="1">
      <c r="B934" s="1"/>
      <c r="C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H934" s="1"/>
      <c r="BM934" s="1"/>
    </row>
    <row r="935" spans="2:65" ht="13.5" customHeight="1">
      <c r="B935" s="1"/>
      <c r="C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H935" s="1"/>
      <c r="BM935" s="1"/>
    </row>
    <row r="936" spans="2:65" ht="13.5" customHeight="1">
      <c r="B936" s="1"/>
      <c r="C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H936" s="1"/>
      <c r="BM936" s="1"/>
    </row>
    <row r="937" spans="2:65" ht="13.5" customHeight="1">
      <c r="B937" s="1"/>
      <c r="C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H937" s="1"/>
      <c r="BM937" s="1"/>
    </row>
    <row r="938" spans="2:65" ht="13.5" customHeight="1">
      <c r="B938" s="1"/>
      <c r="C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H938" s="1"/>
      <c r="BM938" s="1"/>
    </row>
    <row r="939" spans="2:65" ht="13.5" customHeight="1">
      <c r="B939" s="1"/>
      <c r="C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H939" s="1"/>
      <c r="BM939" s="1"/>
    </row>
    <row r="940" spans="2:65" ht="13.5" customHeight="1">
      <c r="B940" s="1"/>
      <c r="C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H940" s="1"/>
      <c r="BM940" s="1"/>
    </row>
    <row r="941" spans="2:65" ht="13.5" customHeight="1">
      <c r="B941" s="1"/>
      <c r="C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H941" s="1"/>
      <c r="BM941" s="1"/>
    </row>
    <row r="942" spans="2:65" ht="13.5" customHeight="1">
      <c r="B942" s="1"/>
      <c r="C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H942" s="1"/>
      <c r="BM942" s="1"/>
    </row>
    <row r="943" spans="2:65" ht="13.5" customHeight="1">
      <c r="B943" s="1"/>
      <c r="C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H943" s="1"/>
      <c r="BM943" s="1"/>
    </row>
    <row r="944" spans="2:65" ht="13.5" customHeight="1">
      <c r="B944" s="1"/>
      <c r="C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H944" s="1"/>
      <c r="BM944" s="1"/>
    </row>
    <row r="945" spans="2:65" ht="13.5" customHeight="1">
      <c r="B945" s="1"/>
      <c r="C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H945" s="1"/>
      <c r="BM945" s="1"/>
    </row>
    <row r="946" spans="2:65" ht="13.5" customHeight="1">
      <c r="B946" s="1"/>
      <c r="C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H946" s="1"/>
      <c r="BM946" s="1"/>
    </row>
    <row r="947" spans="2:65" ht="13.5" customHeight="1">
      <c r="B947" s="1"/>
      <c r="C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H947" s="1"/>
      <c r="BM947" s="1"/>
    </row>
    <row r="948" spans="2:65" ht="13.5" customHeight="1">
      <c r="B948" s="1"/>
      <c r="C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H948" s="1"/>
      <c r="BM948" s="1"/>
    </row>
    <row r="949" spans="2:65" ht="13.5" customHeight="1">
      <c r="B949" s="1"/>
      <c r="C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H949" s="1"/>
      <c r="BM949" s="1"/>
    </row>
    <row r="950" spans="2:65" ht="13.5" customHeight="1">
      <c r="B950" s="1"/>
      <c r="C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H950" s="1"/>
      <c r="BM950" s="1"/>
    </row>
    <row r="951" spans="2:65" ht="13.5" customHeight="1">
      <c r="B951" s="1"/>
      <c r="C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H951" s="1"/>
      <c r="BM951" s="1"/>
    </row>
    <row r="952" spans="2:65" ht="13.5" customHeight="1">
      <c r="B952" s="1"/>
      <c r="C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H952" s="1"/>
      <c r="BM952" s="1"/>
    </row>
    <row r="953" spans="2:65" ht="13.5" customHeight="1">
      <c r="B953" s="1"/>
      <c r="C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H953" s="1"/>
      <c r="BM953" s="1"/>
    </row>
    <row r="954" spans="2:65" ht="13.5" customHeight="1">
      <c r="B954" s="1"/>
      <c r="C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H954" s="1"/>
      <c r="BM954" s="1"/>
    </row>
    <row r="955" spans="2:65" ht="13.5" customHeight="1">
      <c r="B955" s="1"/>
      <c r="C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H955" s="1"/>
      <c r="BM955" s="1"/>
    </row>
    <row r="956" spans="2:65" ht="13.5" customHeight="1">
      <c r="B956" s="1"/>
      <c r="C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H956" s="1"/>
      <c r="BM956" s="1"/>
    </row>
    <row r="957" spans="2:65" ht="13.5" customHeight="1">
      <c r="B957" s="1"/>
      <c r="C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H957" s="1"/>
      <c r="BM957" s="1"/>
    </row>
    <row r="958" spans="2:65" ht="13.5" customHeight="1">
      <c r="B958" s="1"/>
      <c r="C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H958" s="1"/>
      <c r="BM958" s="1"/>
    </row>
    <row r="959" spans="2:65" ht="13.5" customHeight="1">
      <c r="B959" s="1"/>
      <c r="C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H959" s="1"/>
      <c r="BM959" s="1"/>
    </row>
    <row r="960" spans="2:65" ht="13.5" customHeight="1">
      <c r="B960" s="1"/>
      <c r="C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H960" s="1"/>
      <c r="BM960" s="1"/>
    </row>
    <row r="961" spans="2:65" ht="13.5" customHeight="1">
      <c r="B961" s="1"/>
      <c r="C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H961" s="1"/>
      <c r="BM961" s="1"/>
    </row>
    <row r="962" spans="2:65" ht="13.5" customHeight="1">
      <c r="B962" s="1"/>
      <c r="C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H962" s="1"/>
      <c r="BM962" s="1"/>
    </row>
    <row r="963" spans="2:65" ht="13.5" customHeight="1">
      <c r="B963" s="1"/>
      <c r="C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H963" s="1"/>
      <c r="BM963" s="1"/>
    </row>
    <row r="964" spans="2:65" ht="13.5" customHeight="1">
      <c r="B964" s="1"/>
      <c r="C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H964" s="1"/>
      <c r="BM964" s="1"/>
    </row>
    <row r="965" spans="2:65" ht="13.5" customHeight="1">
      <c r="B965" s="1"/>
      <c r="C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H965" s="1"/>
      <c r="BM965" s="1"/>
    </row>
    <row r="966" spans="2:65" ht="13.5" customHeight="1">
      <c r="B966" s="1"/>
      <c r="C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H966" s="1"/>
      <c r="BM966" s="1"/>
    </row>
    <row r="967" spans="2:65" ht="13.5" customHeight="1">
      <c r="B967" s="1"/>
      <c r="C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H967" s="1"/>
      <c r="BM967" s="1"/>
    </row>
    <row r="968" spans="2:65" ht="13.5" customHeight="1">
      <c r="B968" s="1"/>
      <c r="C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H968" s="1"/>
      <c r="BM968" s="1"/>
    </row>
    <row r="969" spans="2:65" ht="13.5" customHeight="1">
      <c r="B969" s="1"/>
      <c r="C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H969" s="1"/>
      <c r="BM969" s="1"/>
    </row>
    <row r="970" spans="2:65" ht="13.5" customHeight="1">
      <c r="B970" s="1"/>
      <c r="C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H970" s="1"/>
      <c r="BM970" s="1"/>
    </row>
    <row r="971" spans="2:65" ht="13.5" customHeight="1">
      <c r="B971" s="1"/>
      <c r="C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H971" s="1"/>
      <c r="BM971" s="1"/>
    </row>
    <row r="972" spans="2:65" ht="13.5" customHeight="1">
      <c r="B972" s="1"/>
      <c r="C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H972" s="1"/>
      <c r="BM972" s="1"/>
    </row>
    <row r="973" spans="2:65" ht="13.5" customHeight="1">
      <c r="B973" s="1"/>
      <c r="C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H973" s="1"/>
      <c r="BM973" s="1"/>
    </row>
    <row r="974" spans="2:65" ht="13.5" customHeight="1">
      <c r="B974" s="1"/>
      <c r="C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H974" s="1"/>
      <c r="BM974" s="1"/>
    </row>
    <row r="975" spans="2:65" ht="13.5" customHeight="1">
      <c r="B975" s="1"/>
      <c r="C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H975" s="1"/>
      <c r="BM975" s="1"/>
    </row>
    <row r="976" spans="2:65" ht="13.5" customHeight="1">
      <c r="B976" s="1"/>
      <c r="C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H976" s="1"/>
      <c r="BM976" s="1"/>
    </row>
    <row r="977" spans="2:65" ht="13.5" customHeight="1">
      <c r="B977" s="1"/>
      <c r="C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H977" s="1"/>
      <c r="BM977" s="1"/>
    </row>
    <row r="978" spans="2:65" ht="13.5" customHeight="1">
      <c r="B978" s="1"/>
      <c r="C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H978" s="1"/>
      <c r="BM978" s="1"/>
    </row>
    <row r="979" spans="2:65" ht="13.5" customHeight="1">
      <c r="B979" s="1"/>
      <c r="C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H979" s="1"/>
      <c r="BM979" s="1"/>
    </row>
    <row r="980" spans="2:65" ht="13.5" customHeight="1">
      <c r="B980" s="1"/>
      <c r="C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H980" s="1"/>
      <c r="BM980" s="1"/>
    </row>
    <row r="981" spans="2:65" ht="13.5" customHeight="1">
      <c r="B981" s="1"/>
      <c r="C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H981" s="1"/>
      <c r="BM981" s="1"/>
    </row>
    <row r="982" spans="2:65" ht="13.5" customHeight="1">
      <c r="B982" s="1"/>
      <c r="C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H982" s="1"/>
      <c r="BM982" s="1"/>
    </row>
    <row r="983" spans="2:65" ht="13.5" customHeight="1">
      <c r="B983" s="1"/>
      <c r="C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H983" s="1"/>
      <c r="BM983" s="1"/>
    </row>
    <row r="984" spans="2:65" ht="13.5" customHeight="1">
      <c r="B984" s="1"/>
      <c r="C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H984" s="1"/>
      <c r="BM984" s="1"/>
    </row>
    <row r="985" spans="2:65" ht="13.5" customHeight="1">
      <c r="B985" s="1"/>
      <c r="C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H985" s="1"/>
      <c r="BM985" s="1"/>
    </row>
    <row r="986" spans="2:65" ht="13.5" customHeight="1">
      <c r="B986" s="1"/>
      <c r="C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H986" s="1"/>
      <c r="BM986" s="1"/>
    </row>
    <row r="987" spans="2:65" ht="13.5" customHeight="1">
      <c r="B987" s="1"/>
      <c r="C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H987" s="1"/>
      <c r="BM987" s="1"/>
    </row>
    <row r="988" spans="2:65" ht="13.5" customHeight="1">
      <c r="B988" s="1"/>
      <c r="C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H988" s="1"/>
      <c r="BM988" s="1"/>
    </row>
    <row r="989" spans="2:65" ht="13.5" customHeight="1">
      <c r="B989" s="1"/>
      <c r="C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H989" s="1"/>
      <c r="BM989" s="1"/>
    </row>
    <row r="990" spans="2:65" ht="13.5" customHeight="1">
      <c r="B990" s="1"/>
      <c r="C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H990" s="1"/>
      <c r="BM990" s="1"/>
    </row>
    <row r="991" spans="2:65" ht="13.5" customHeight="1">
      <c r="B991" s="1"/>
      <c r="C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H991" s="1"/>
      <c r="BM991" s="1"/>
    </row>
    <row r="992" spans="2:65" ht="13.5" customHeight="1">
      <c r="B992" s="1"/>
      <c r="C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H992" s="1"/>
      <c r="BM992" s="1"/>
    </row>
    <row r="993" spans="2:65" ht="13.5" customHeight="1">
      <c r="B993" s="1"/>
      <c r="C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H993" s="1"/>
      <c r="BM993" s="1"/>
    </row>
    <row r="994" spans="2:65" ht="13.5" customHeight="1">
      <c r="B994" s="1"/>
      <c r="C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H994" s="1"/>
      <c r="BM994" s="1"/>
    </row>
    <row r="995" spans="2:65" ht="13.5" customHeight="1">
      <c r="B995" s="1"/>
      <c r="C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H995" s="1"/>
      <c r="BM995" s="1"/>
    </row>
    <row r="996" spans="2:65" ht="13.5" customHeight="1">
      <c r="B996" s="1"/>
      <c r="C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H996" s="1"/>
      <c r="BM996" s="1"/>
    </row>
    <row r="997" spans="2:65" ht="13.5" customHeight="1">
      <c r="B997" s="1"/>
      <c r="C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H997" s="1"/>
      <c r="BM997" s="1"/>
    </row>
    <row r="998" spans="2:65" ht="13.5" customHeight="1">
      <c r="B998" s="1"/>
      <c r="C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H998" s="1"/>
      <c r="BM998" s="1"/>
    </row>
    <row r="999" spans="2:65" ht="13.5" customHeight="1">
      <c r="B999" s="1"/>
      <c r="C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H999" s="1"/>
      <c r="BM999" s="1"/>
    </row>
    <row r="1000" spans="2:65" ht="13.5" customHeight="1">
      <c r="B1000" s="1"/>
      <c r="C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H1000" s="1"/>
      <c r="BM1000" s="1"/>
    </row>
    <row r="1001" spans="2:65" ht="13.5" customHeight="1">
      <c r="B1001" s="1"/>
      <c r="C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H1001" s="1"/>
      <c r="BM1001" s="1"/>
    </row>
    <row r="1002" spans="2:65" ht="13.5" customHeight="1">
      <c r="B1002" s="1"/>
      <c r="C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H1002" s="1"/>
      <c r="BM1002" s="1"/>
    </row>
    <row r="1003" spans="2:65" ht="13.5" customHeight="1">
      <c r="B1003" s="1"/>
      <c r="C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H1003" s="1"/>
      <c r="BM1003" s="1"/>
    </row>
    <row r="1004" spans="2:65" ht="13.5" customHeight="1">
      <c r="B1004" s="1"/>
      <c r="C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H1004" s="1"/>
      <c r="BM1004" s="1"/>
    </row>
    <row r="1005" spans="2:65" ht="13.5" customHeight="1">
      <c r="B1005" s="1"/>
      <c r="C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H1005" s="1"/>
      <c r="BM1005" s="1"/>
    </row>
    <row r="1006" spans="2:65" ht="13.5" customHeight="1">
      <c r="B1006" s="1"/>
      <c r="C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H1006" s="1"/>
      <c r="BM1006" s="1"/>
    </row>
    <row r="1007" spans="2:65" ht="13.5" customHeight="1">
      <c r="B1007" s="1"/>
      <c r="C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H1007" s="1"/>
      <c r="BM1007" s="1"/>
    </row>
    <row r="1008" spans="2:65" ht="13.5" customHeight="1">
      <c r="B1008" s="1"/>
      <c r="C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H1008" s="1"/>
      <c r="BM1008" s="1"/>
    </row>
    <row r="1009" spans="2:65" ht="13.5" customHeight="1">
      <c r="B1009" s="1"/>
      <c r="C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H1009" s="1"/>
      <c r="BM1009" s="1"/>
    </row>
    <row r="1010" spans="2:65" ht="13.5" customHeight="1">
      <c r="B1010" s="1"/>
      <c r="C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H1010" s="1"/>
      <c r="BM1010" s="1"/>
    </row>
    <row r="1011" spans="2:65" ht="13.5" customHeight="1">
      <c r="B1011" s="1"/>
      <c r="C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H1011" s="1"/>
      <c r="BM1011" s="1"/>
    </row>
    <row r="1012" spans="2:65" ht="13.5" customHeight="1">
      <c r="B1012" s="1"/>
      <c r="C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H1012" s="1"/>
      <c r="BM1012" s="1"/>
    </row>
    <row r="1013" spans="2:65" ht="13.5" customHeight="1">
      <c r="B1013" s="1"/>
      <c r="C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H1013" s="1"/>
      <c r="BM1013" s="1"/>
    </row>
    <row r="1014" spans="2:65" ht="13.5" customHeight="1">
      <c r="B1014" s="1"/>
      <c r="C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H1014" s="1"/>
      <c r="BM1014" s="1"/>
    </row>
    <row r="1015" spans="2:65" ht="13.5" customHeight="1">
      <c r="B1015" s="1"/>
      <c r="C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H1015" s="1"/>
      <c r="BM1015" s="1"/>
    </row>
    <row r="1016" spans="2:65" ht="13.5" customHeight="1">
      <c r="B1016" s="1"/>
      <c r="C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H1016" s="1"/>
      <c r="BM1016" s="1"/>
    </row>
    <row r="1017" spans="2:65" ht="13.5" customHeight="1">
      <c r="B1017" s="1"/>
      <c r="C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H1017" s="1"/>
      <c r="BM1017" s="1"/>
    </row>
    <row r="1018" spans="2:65" ht="13.5" customHeight="1">
      <c r="B1018" s="1"/>
      <c r="C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H1018" s="1"/>
      <c r="BM1018" s="1"/>
    </row>
    <row r="1019" spans="2:65" ht="13.5" customHeight="1">
      <c r="B1019" s="1"/>
      <c r="C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H1019" s="1"/>
      <c r="BM1019" s="1"/>
    </row>
    <row r="1020" spans="2:65" ht="13.5" customHeight="1">
      <c r="B1020" s="1"/>
      <c r="C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H1020" s="1"/>
      <c r="BM1020" s="1"/>
    </row>
    <row r="1021" spans="2:65" ht="13.5" customHeight="1">
      <c r="B1021" s="1"/>
      <c r="C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H1021" s="1"/>
      <c r="BM1021" s="1"/>
    </row>
    <row r="1022" spans="2:65" ht="13.5" customHeight="1">
      <c r="B1022" s="1"/>
      <c r="C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H1022" s="1"/>
      <c r="BM1022" s="1"/>
    </row>
    <row r="1023" spans="2:65" ht="13.5" customHeight="1">
      <c r="B1023" s="1"/>
      <c r="C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H1023" s="1"/>
      <c r="BM1023" s="1"/>
    </row>
    <row r="1024" spans="2:65" ht="13.5" customHeight="1">
      <c r="B1024" s="1"/>
      <c r="C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H1024" s="1"/>
      <c r="BM1024" s="1"/>
    </row>
    <row r="1025" spans="2:65" ht="13.5" customHeight="1">
      <c r="B1025" s="1"/>
      <c r="C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H1025" s="1"/>
      <c r="BM1025" s="1"/>
    </row>
    <row r="1026" spans="2:65" ht="13.5" customHeight="1">
      <c r="B1026" s="1"/>
      <c r="C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H1026" s="1"/>
      <c r="BM1026" s="1"/>
    </row>
    <row r="1027" spans="2:65" ht="13.5" customHeight="1">
      <c r="B1027" s="1"/>
      <c r="C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H1027" s="1"/>
      <c r="BM1027" s="1"/>
    </row>
    <row r="1028" spans="2:65" ht="13.5" customHeight="1">
      <c r="B1028" s="1"/>
      <c r="C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H1028" s="1"/>
      <c r="BM1028" s="1"/>
    </row>
    <row r="1029" spans="2:65" ht="13.5" customHeight="1">
      <c r="B1029" s="1"/>
      <c r="C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H1029" s="1"/>
      <c r="BM1029" s="1"/>
    </row>
    <row r="1030" spans="2:65" ht="13.5" customHeight="1">
      <c r="B1030" s="1"/>
      <c r="C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H1030" s="1"/>
      <c r="BM1030" s="1"/>
    </row>
    <row r="1031" spans="2:65" ht="13.5" customHeight="1">
      <c r="B1031" s="1"/>
      <c r="C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H1031" s="1"/>
      <c r="BM1031" s="1"/>
    </row>
    <row r="1032" spans="2:65" ht="13.5" customHeight="1">
      <c r="B1032" s="1"/>
      <c r="C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H1032" s="1"/>
      <c r="BM1032" s="1"/>
    </row>
    <row r="1033" spans="2:65" ht="13.5" customHeight="1">
      <c r="B1033" s="1"/>
      <c r="C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H1033" s="1"/>
      <c r="BM1033" s="1"/>
    </row>
    <row r="1034" spans="2:65" ht="13.5" customHeight="1">
      <c r="B1034" s="1"/>
      <c r="C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H1034" s="1"/>
      <c r="BM1034" s="1"/>
    </row>
    <row r="1035" spans="2:65" ht="13.5" customHeight="1">
      <c r="B1035" s="1"/>
      <c r="C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H1035" s="1"/>
      <c r="BM1035" s="1"/>
    </row>
    <row r="1036" spans="2:65" ht="13.5" customHeight="1">
      <c r="B1036" s="1"/>
      <c r="C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H1036" s="1"/>
      <c r="BM1036" s="1"/>
    </row>
    <row r="1037" spans="2:65" ht="13.5" customHeight="1">
      <c r="B1037" s="1"/>
      <c r="C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H1037" s="1"/>
      <c r="BM1037" s="1"/>
    </row>
    <row r="1038" spans="2:65" ht="13.5" customHeight="1">
      <c r="B1038" s="1"/>
      <c r="C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H1038" s="1"/>
      <c r="BM1038" s="1"/>
    </row>
    <row r="1039" spans="2:65" ht="13.5" customHeight="1">
      <c r="B1039" s="1"/>
      <c r="C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H1039" s="1"/>
      <c r="BM1039" s="1"/>
    </row>
    <row r="1040" spans="2:65" ht="13.5" customHeight="1">
      <c r="B1040" s="1"/>
      <c r="C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H1040" s="1"/>
      <c r="BM1040" s="1"/>
    </row>
    <row r="1041" spans="2:65" ht="13.5" customHeight="1">
      <c r="B1041" s="1"/>
      <c r="C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H1041" s="1"/>
      <c r="BM1041" s="1"/>
    </row>
    <row r="1042" spans="2:65" ht="13.5" customHeight="1">
      <c r="B1042" s="1"/>
      <c r="C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H1042" s="1"/>
      <c r="BM1042" s="1"/>
    </row>
    <row r="1043" spans="2:65" ht="13.5" customHeight="1">
      <c r="B1043" s="1"/>
      <c r="C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H1043" s="1"/>
      <c r="BM1043" s="1"/>
    </row>
    <row r="1044" spans="2:65" ht="13.5" customHeight="1">
      <c r="B1044" s="1"/>
      <c r="C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H1044" s="1"/>
      <c r="BM1044" s="1"/>
    </row>
    <row r="1045" spans="2:65" ht="13.5" customHeight="1">
      <c r="B1045" s="1"/>
      <c r="C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H1045" s="1"/>
      <c r="BM1045" s="1"/>
    </row>
    <row r="1046" spans="2:65" ht="13.5" customHeight="1">
      <c r="B1046" s="1"/>
      <c r="C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H1046" s="1"/>
      <c r="BM1046" s="1"/>
    </row>
    <row r="1047" spans="2:65" ht="13.5" customHeight="1">
      <c r="B1047" s="1"/>
      <c r="C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H1047" s="1"/>
      <c r="BM1047" s="1"/>
    </row>
    <row r="1048" spans="2:65" ht="13.5" customHeight="1">
      <c r="B1048" s="1"/>
      <c r="C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H1048" s="1"/>
      <c r="BM1048" s="1"/>
    </row>
    <row r="1049" spans="2:65" ht="13.5" customHeight="1">
      <c r="B1049" s="1"/>
      <c r="C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H1049" s="1"/>
      <c r="BM1049" s="1"/>
    </row>
    <row r="1050" spans="2:65" ht="13.5" customHeight="1">
      <c r="B1050" s="1"/>
      <c r="C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H1050" s="1"/>
      <c r="BM1050" s="1"/>
    </row>
    <row r="1051" spans="2:65" ht="13.5" customHeight="1">
      <c r="B1051" s="1"/>
      <c r="C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H1051" s="1"/>
      <c r="BM1051" s="1"/>
    </row>
    <row r="1052" spans="2:65" ht="13.5" customHeight="1">
      <c r="B1052" s="1"/>
      <c r="C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H1052" s="1"/>
      <c r="BM1052" s="1"/>
    </row>
    <row r="1053" spans="2:65" ht="13.5" customHeight="1">
      <c r="B1053" s="1"/>
      <c r="C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H1053" s="1"/>
      <c r="BM1053" s="1"/>
    </row>
    <row r="1054" spans="2:65" ht="13.5" customHeight="1">
      <c r="B1054" s="1"/>
      <c r="C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H1054" s="1"/>
      <c r="BM1054" s="1"/>
    </row>
    <row r="1055" spans="2:65" ht="13.5" customHeight="1">
      <c r="B1055" s="1"/>
      <c r="C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H1055" s="1"/>
      <c r="BM1055" s="1"/>
    </row>
    <row r="1056" spans="2:65" ht="13.5" customHeight="1">
      <c r="B1056" s="1"/>
      <c r="C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H1056" s="1"/>
      <c r="BM1056" s="1"/>
    </row>
    <row r="1057" spans="2:65" ht="13.5" customHeight="1">
      <c r="B1057" s="1"/>
      <c r="C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H1057" s="1"/>
      <c r="BM1057" s="1"/>
    </row>
    <row r="1058" spans="2:65" ht="13.5" customHeight="1">
      <c r="B1058" s="1"/>
      <c r="C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H1058" s="1"/>
      <c r="BM1058" s="1"/>
    </row>
    <row r="1059" spans="2:65" ht="13.5" customHeight="1">
      <c r="B1059" s="1"/>
      <c r="C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H1059" s="1"/>
      <c r="BM1059" s="1"/>
    </row>
    <row r="1060" spans="2:65" ht="13.5" customHeight="1">
      <c r="B1060" s="1"/>
      <c r="C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H1060" s="1"/>
      <c r="BM1060" s="1"/>
    </row>
    <row r="1061" spans="2:65" ht="13.5" customHeight="1">
      <c r="B1061" s="1"/>
      <c r="C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H1061" s="1"/>
      <c r="BM1061" s="1"/>
    </row>
    <row r="1062" spans="2:65" ht="13.5" customHeight="1">
      <c r="B1062" s="1"/>
      <c r="C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H1062" s="1"/>
      <c r="BM1062" s="1"/>
    </row>
    <row r="1063" spans="2:65" ht="13.5" customHeight="1">
      <c r="B1063" s="1"/>
      <c r="C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H1063" s="1"/>
      <c r="BM1063" s="1"/>
    </row>
    <row r="1064" spans="2:65" ht="13.5" customHeight="1">
      <c r="B1064" s="1"/>
      <c r="C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H1064" s="1"/>
      <c r="BM1064" s="1"/>
    </row>
    <row r="1065" spans="2:65" ht="13.5" customHeight="1">
      <c r="B1065" s="1"/>
      <c r="C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H1065" s="1"/>
      <c r="BM1065" s="1"/>
    </row>
    <row r="1066" spans="2:65" ht="13.5" customHeight="1">
      <c r="B1066" s="1"/>
      <c r="C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H1066" s="1"/>
      <c r="BM1066" s="1"/>
    </row>
    <row r="1067" spans="2:65" ht="13.5" customHeight="1">
      <c r="B1067" s="1"/>
      <c r="C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H1067" s="1"/>
      <c r="BM1067" s="1"/>
    </row>
    <row r="1068" spans="2:65" ht="13.5" customHeight="1">
      <c r="B1068" s="1"/>
      <c r="C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H1068" s="1"/>
      <c r="BM1068" s="1"/>
    </row>
    <row r="1069" spans="2:65" ht="13.5" customHeight="1">
      <c r="B1069" s="1"/>
      <c r="C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H1069" s="1"/>
      <c r="BM1069" s="1"/>
    </row>
    <row r="1070" spans="2:65" ht="13.5" customHeight="1">
      <c r="B1070" s="1"/>
      <c r="C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H1070" s="1"/>
      <c r="BM1070" s="1"/>
    </row>
    <row r="1071" spans="2:65" ht="13.5" customHeight="1">
      <c r="B1071" s="1"/>
      <c r="C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H1071" s="1"/>
      <c r="BM1071" s="1"/>
    </row>
    <row r="1072" spans="2:65" ht="13.5" customHeight="1">
      <c r="B1072" s="1"/>
      <c r="C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H1072" s="1"/>
      <c r="BM1072" s="1"/>
    </row>
    <row r="1073" spans="2:65" ht="13.5" customHeight="1">
      <c r="B1073" s="1"/>
      <c r="C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H1073" s="1"/>
      <c r="BM1073" s="1"/>
    </row>
    <row r="1074" spans="2:65" ht="13.5" customHeight="1">
      <c r="B1074" s="1"/>
      <c r="C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H1074" s="1"/>
      <c r="BM1074" s="1"/>
    </row>
    <row r="1075" spans="2:65" ht="13.5" customHeight="1">
      <c r="B1075" s="1"/>
      <c r="C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H1075" s="1"/>
      <c r="BM1075" s="1"/>
    </row>
    <row r="1076" spans="2:65" ht="13.5" customHeight="1">
      <c r="B1076" s="1"/>
      <c r="C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H1076" s="1"/>
      <c r="BM1076" s="1"/>
    </row>
    <row r="1077" spans="2:65" ht="13.5" customHeight="1">
      <c r="B1077" s="1"/>
      <c r="C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H1077" s="1"/>
      <c r="BM1077" s="1"/>
    </row>
    <row r="1078" spans="2:65" ht="13.5" customHeight="1">
      <c r="B1078" s="1"/>
      <c r="C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H1078" s="1"/>
      <c r="BM1078" s="1"/>
    </row>
    <row r="1079" spans="2:65" ht="13.5" customHeight="1">
      <c r="B1079" s="1"/>
      <c r="C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H1079" s="1"/>
      <c r="BM1079" s="1"/>
    </row>
    <row r="1080" spans="2:65" ht="13.5" customHeight="1">
      <c r="B1080" s="1"/>
      <c r="C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H1080" s="1"/>
      <c r="BM1080" s="1"/>
    </row>
    <row r="1081" spans="2:65" ht="13.5" customHeight="1">
      <c r="B1081" s="1"/>
      <c r="C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H1081" s="1"/>
      <c r="BM1081" s="1"/>
    </row>
    <row r="1082" spans="2:65" ht="13.5" customHeight="1">
      <c r="B1082" s="1"/>
      <c r="C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H1082" s="1"/>
      <c r="BM1082" s="1"/>
    </row>
    <row r="1083" spans="2:65" ht="13.5" customHeight="1">
      <c r="B1083" s="1"/>
      <c r="C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H1083" s="1"/>
      <c r="BM1083" s="1"/>
    </row>
  </sheetData>
  <sheetProtection password="ECC8" sheet="1" objects="1" scenarios="1"/>
  <mergeCells count="25">
    <mergeCell ref="D2:S2"/>
    <mergeCell ref="O9:S9"/>
    <mergeCell ref="D6:S6"/>
    <mergeCell ref="D7:S7"/>
    <mergeCell ref="R16:S16"/>
    <mergeCell ref="O10:Q10"/>
    <mergeCell ref="J11:J12"/>
    <mergeCell ref="K11:K12"/>
    <mergeCell ref="L11:L12"/>
    <mergeCell ref="M11:M12"/>
    <mergeCell ref="D14:E17"/>
    <mergeCell ref="D11:F11"/>
    <mergeCell ref="D12:F12"/>
    <mergeCell ref="O14:Q14"/>
    <mergeCell ref="J16:K16"/>
    <mergeCell ref="L16:N16"/>
    <mergeCell ref="O16:Q16"/>
    <mergeCell ref="O11:Q11"/>
    <mergeCell ref="O13:Q13"/>
    <mergeCell ref="J37:K37"/>
    <mergeCell ref="L37:N37"/>
    <mergeCell ref="O37:Q37"/>
    <mergeCell ref="R37:S37"/>
    <mergeCell ref="AT37:AV37"/>
    <mergeCell ref="AW37:AY37"/>
  </mergeCells>
  <dataValidations count="2">
    <dataValidation type="list" allowBlank="1" showInputMessage="1" showErrorMessage="1" sqref="E19 E21:E27">
      <formula1>'Compare ALL Varieties'!$E$40:$E$168</formula1>
    </dataValidation>
    <dataValidation type="list" allowBlank="1" showInputMessage="1" showErrorMessage="1" prompt="=$E$37:$E$176" sqref="E20">
      <formula1>'Compare ALL Varieties'!$E$40:$E$168</formula1>
    </dataValidation>
  </dataValidations>
  <hyperlinks>
    <hyperlink ref="O13" r:id="rId1" display="www.plainscotton.org"/>
    <hyperlink ref="L4" r:id="rId2" display="http://www.plainscotton.org"/>
  </hyperlinks>
  <printOptions/>
  <pageMargins left="0.75" right="0.75" top="1" bottom="1" header="0.5" footer="0.5"/>
  <pageSetup fitToHeight="1" fitToWidth="1" orientation="landscape" scale="66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77"/>
  <sheetViews>
    <sheetView zoomScalePageLayoutView="0" workbookViewId="0" topLeftCell="A3">
      <selection activeCell="L5" sqref="L5"/>
    </sheetView>
  </sheetViews>
  <sheetFormatPr defaultColWidth="11.625" defaultRowHeight="12.75"/>
  <cols>
    <col min="1" max="1" width="1.75390625" style="1" customWidth="1"/>
    <col min="2" max="3" width="11.625" style="4" hidden="1" customWidth="1"/>
    <col min="4" max="4" width="12.75390625" style="1" customWidth="1"/>
    <col min="5" max="5" width="20.375" style="1" customWidth="1"/>
    <col min="6" max="6" width="12.625" style="73" customWidth="1"/>
    <col min="7" max="7" width="11.625" style="15" hidden="1" customWidth="1"/>
    <col min="8" max="8" width="11.625" style="16" hidden="1" customWidth="1"/>
    <col min="9" max="9" width="11.625" style="17" hidden="1" customWidth="1"/>
    <col min="10" max="10" width="11.00390625" style="6" customWidth="1"/>
    <col min="11" max="11" width="10.875" style="6" customWidth="1"/>
    <col min="12" max="12" width="10.375" style="19" customWidth="1"/>
    <col min="13" max="13" width="9.875" style="19" customWidth="1"/>
    <col min="14" max="14" width="9.875" style="172" customWidth="1"/>
    <col min="15" max="15" width="9.75390625" style="20" customWidth="1"/>
    <col min="16" max="16" width="9.75390625" style="21" customWidth="1"/>
    <col min="17" max="17" width="9.75390625" style="172" customWidth="1"/>
    <col min="18" max="18" width="9.75390625" style="18" customWidth="1"/>
    <col min="19" max="19" width="9.75390625" style="172" customWidth="1"/>
    <col min="20" max="20" width="4.375" style="3" customWidth="1"/>
    <col min="21" max="22" width="0" style="4" hidden="1" customWidth="1"/>
    <col min="23" max="23" width="2.25390625" style="3" hidden="1" customWidth="1"/>
    <col min="24" max="27" width="0" style="5" hidden="1" customWidth="1"/>
    <col min="28" max="28" width="15.375" style="5" hidden="1" customWidth="1"/>
    <col min="29" max="29" width="0" style="5" hidden="1" customWidth="1"/>
    <col min="30" max="30" width="15.375" style="5" hidden="1" customWidth="1"/>
    <col min="31" max="31" width="0" style="5" hidden="1" customWidth="1"/>
    <col min="32" max="32" width="15.375" style="5" hidden="1" customWidth="1"/>
    <col min="33" max="35" width="0" style="6" hidden="1" customWidth="1"/>
    <col min="36" max="41" width="10.00390625" style="5" hidden="1" customWidth="1"/>
    <col min="42" max="42" width="0" style="50" hidden="1" customWidth="1"/>
    <col min="43" max="43" width="0" style="5" hidden="1" customWidth="1"/>
    <col min="44" max="44" width="0" style="50" hidden="1" customWidth="1"/>
    <col min="45" max="45" width="0" style="5" hidden="1" customWidth="1"/>
    <col min="46" max="52" width="0" style="6" hidden="1" customWidth="1"/>
    <col min="53" max="57" width="0" style="5" hidden="1" customWidth="1"/>
    <col min="58" max="59" width="0" style="1" hidden="1" customWidth="1"/>
    <col min="60" max="60" width="0" style="5" hidden="1" customWidth="1"/>
    <col min="61" max="64" width="0" style="1" hidden="1" customWidth="1"/>
    <col min="65" max="65" width="0" style="7" hidden="1" customWidth="1"/>
    <col min="66" max="66" width="0" style="1" hidden="1" customWidth="1"/>
    <col min="67" max="16384" width="11.625" style="1" customWidth="1"/>
  </cols>
  <sheetData>
    <row r="1" spans="1:22" ht="10.5" customHeight="1">
      <c r="A1" s="209"/>
      <c r="B1" s="1"/>
      <c r="C1" s="1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1"/>
      <c r="U1" s="1"/>
      <c r="V1" s="1"/>
    </row>
    <row r="2" spans="2:22" ht="30.75" customHeight="1">
      <c r="B2" s="1"/>
      <c r="C2" s="1"/>
      <c r="D2" s="258" t="s">
        <v>144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1"/>
      <c r="U2" s="1"/>
      <c r="V2" s="1"/>
    </row>
    <row r="3" spans="2:22" ht="18" customHeight="1">
      <c r="B3" s="1"/>
      <c r="C3" s="1"/>
      <c r="D3" s="226"/>
      <c r="E3" s="226"/>
      <c r="F3" s="226"/>
      <c r="G3" s="226"/>
      <c r="H3" s="226"/>
      <c r="I3" s="226"/>
      <c r="J3" s="226"/>
      <c r="K3" s="226"/>
      <c r="L3" s="228" t="s">
        <v>244</v>
      </c>
      <c r="M3" s="226"/>
      <c r="N3" s="226"/>
      <c r="O3" s="226"/>
      <c r="P3" s="226"/>
      <c r="Q3" s="226"/>
      <c r="R3" s="226"/>
      <c r="S3" s="226"/>
      <c r="T3" s="1"/>
      <c r="U3" s="1"/>
      <c r="V3" s="1"/>
    </row>
    <row r="4" spans="2:22" ht="18" customHeight="1">
      <c r="B4" s="22"/>
      <c r="C4" s="22"/>
      <c r="D4" s="2"/>
      <c r="E4" s="2"/>
      <c r="F4" s="69"/>
      <c r="G4" s="2"/>
      <c r="H4" s="2"/>
      <c r="I4" s="8"/>
      <c r="J4" s="9"/>
      <c r="K4" s="10"/>
      <c r="L4" s="227" t="s">
        <v>243</v>
      </c>
      <c r="M4" s="1"/>
      <c r="N4" s="171"/>
      <c r="O4" s="1"/>
      <c r="P4" s="1"/>
      <c r="Q4" s="171"/>
      <c r="R4" s="9"/>
      <c r="S4" s="181"/>
      <c r="T4" s="22"/>
      <c r="U4" s="22"/>
      <c r="V4" s="22"/>
    </row>
    <row r="5" spans="2:22" ht="9" customHeight="1" thickBot="1">
      <c r="B5" s="22"/>
      <c r="C5" s="22"/>
      <c r="D5" s="2"/>
      <c r="E5" s="2"/>
      <c r="F5" s="69"/>
      <c r="G5" s="2"/>
      <c r="H5" s="2"/>
      <c r="I5" s="8"/>
      <c r="J5" s="9"/>
      <c r="K5" s="10"/>
      <c r="L5" s="224"/>
      <c r="M5" s="1"/>
      <c r="N5" s="171"/>
      <c r="O5" s="1"/>
      <c r="P5" s="1"/>
      <c r="Q5" s="171"/>
      <c r="R5" s="9"/>
      <c r="S5" s="181"/>
      <c r="T5" s="22"/>
      <c r="U5" s="22"/>
      <c r="V5" s="22"/>
    </row>
    <row r="6" spans="4:65" s="4" customFormat="1" ht="21" customHeight="1" thickTop="1">
      <c r="D6" s="262" t="s">
        <v>166</v>
      </c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2"/>
      <c r="W6" s="11"/>
      <c r="X6" s="12"/>
      <c r="Y6" s="12"/>
      <c r="Z6" s="12"/>
      <c r="AA6" s="12"/>
      <c r="AB6" s="12"/>
      <c r="AC6" s="12"/>
      <c r="AD6" s="12"/>
      <c r="AE6" s="12"/>
      <c r="AF6" s="12"/>
      <c r="AG6" s="13"/>
      <c r="AH6" s="13"/>
      <c r="AI6" s="13"/>
      <c r="AJ6" s="12"/>
      <c r="AK6" s="12"/>
      <c r="AL6" s="12"/>
      <c r="AM6" s="12"/>
      <c r="AN6" s="12"/>
      <c r="AO6" s="12"/>
      <c r="AP6" s="65"/>
      <c r="AQ6" s="12"/>
      <c r="AR6" s="65"/>
      <c r="AS6" s="12"/>
      <c r="AT6" s="13"/>
      <c r="AU6" s="13"/>
      <c r="AV6" s="13"/>
      <c r="AW6" s="13"/>
      <c r="AX6" s="13"/>
      <c r="AY6" s="13"/>
      <c r="AZ6" s="13"/>
      <c r="BA6" s="12"/>
      <c r="BB6" s="12"/>
      <c r="BC6" s="12"/>
      <c r="BD6" s="12"/>
      <c r="BE6" s="12"/>
      <c r="BH6" s="12"/>
      <c r="BM6" s="14"/>
    </row>
    <row r="7" spans="4:65" s="4" customFormat="1" ht="21" customHeight="1" thickBot="1">
      <c r="D7" s="265" t="s">
        <v>58</v>
      </c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7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3"/>
      <c r="AH7" s="13"/>
      <c r="AI7" s="13"/>
      <c r="AJ7" s="12"/>
      <c r="AK7" s="12"/>
      <c r="AL7" s="12"/>
      <c r="AM7" s="12"/>
      <c r="AN7" s="12"/>
      <c r="AO7" s="12"/>
      <c r="AP7" s="65"/>
      <c r="AQ7" s="12"/>
      <c r="AR7" s="65"/>
      <c r="AS7" s="12"/>
      <c r="AT7" s="13"/>
      <c r="AU7" s="13"/>
      <c r="AV7" s="13"/>
      <c r="AW7" s="13"/>
      <c r="AX7" s="13"/>
      <c r="AY7" s="13"/>
      <c r="AZ7" s="13"/>
      <c r="BA7" s="12"/>
      <c r="BB7" s="12"/>
      <c r="BC7" s="12"/>
      <c r="BD7" s="12"/>
      <c r="BE7" s="12"/>
      <c r="BH7" s="12"/>
      <c r="BM7" s="14"/>
    </row>
    <row r="8" spans="1:65" s="4" customFormat="1" ht="9" customHeight="1" thickBot="1">
      <c r="A8" s="1"/>
      <c r="B8" s="22"/>
      <c r="C8" s="22"/>
      <c r="D8" s="50"/>
      <c r="E8" s="51"/>
      <c r="F8" s="70"/>
      <c r="G8" s="36"/>
      <c r="H8" s="36"/>
      <c r="I8" s="21"/>
      <c r="J8" s="19"/>
      <c r="K8" s="20"/>
      <c r="L8" s="3"/>
      <c r="M8" s="1"/>
      <c r="N8" s="171"/>
      <c r="O8" s="1"/>
      <c r="P8" s="1"/>
      <c r="Q8" s="171"/>
      <c r="R8" s="19"/>
      <c r="S8" s="181"/>
      <c r="T8" s="22"/>
      <c r="U8" s="22"/>
      <c r="V8" s="22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3"/>
      <c r="AH8" s="13"/>
      <c r="AI8" s="13"/>
      <c r="AJ8" s="12"/>
      <c r="AK8" s="12"/>
      <c r="AL8" s="12"/>
      <c r="AM8" s="12"/>
      <c r="AN8" s="12"/>
      <c r="AO8" s="12"/>
      <c r="AP8" s="65"/>
      <c r="AQ8" s="12"/>
      <c r="AR8" s="65"/>
      <c r="AS8" s="12"/>
      <c r="AT8" s="13"/>
      <c r="AU8" s="13"/>
      <c r="AV8" s="13"/>
      <c r="AW8" s="13"/>
      <c r="AX8" s="13"/>
      <c r="AY8" s="13"/>
      <c r="AZ8" s="13"/>
      <c r="BA8" s="12"/>
      <c r="BB8" s="12"/>
      <c r="BC8" s="12"/>
      <c r="BD8" s="12"/>
      <c r="BE8" s="12"/>
      <c r="BH8" s="12"/>
      <c r="BM8" s="14"/>
    </row>
    <row r="9" spans="1:65" s="4" customFormat="1" ht="16.5" thickBot="1">
      <c r="A9" s="1"/>
      <c r="B9" s="22"/>
      <c r="C9" s="22"/>
      <c r="D9" s="22"/>
      <c r="E9" s="22"/>
      <c r="F9" s="71"/>
      <c r="G9" s="22"/>
      <c r="H9" s="196"/>
      <c r="I9" s="22"/>
      <c r="J9" s="22"/>
      <c r="K9" s="22"/>
      <c r="L9" s="3"/>
      <c r="M9" s="1"/>
      <c r="N9" s="171"/>
      <c r="O9" s="259" t="s">
        <v>124</v>
      </c>
      <c r="P9" s="260"/>
      <c r="Q9" s="260"/>
      <c r="R9" s="260"/>
      <c r="S9" s="261"/>
      <c r="T9" s="22"/>
      <c r="U9" s="22"/>
      <c r="V9" s="22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3"/>
      <c r="AH9" s="13"/>
      <c r="AI9" s="13"/>
      <c r="AJ9" s="12"/>
      <c r="AK9" s="12"/>
      <c r="AL9" s="12"/>
      <c r="AM9" s="12"/>
      <c r="AN9" s="12"/>
      <c r="AO9" s="12"/>
      <c r="AP9" s="65"/>
      <c r="AQ9" s="12"/>
      <c r="AR9" s="65"/>
      <c r="AS9" s="12"/>
      <c r="AT9" s="13"/>
      <c r="AU9" s="13"/>
      <c r="AV9" s="13"/>
      <c r="AW9" s="13"/>
      <c r="AX9" s="13"/>
      <c r="AY9" s="13"/>
      <c r="AZ9" s="13"/>
      <c r="BA9" s="12"/>
      <c r="BB9" s="12"/>
      <c r="BC9" s="12"/>
      <c r="BD9" s="12"/>
      <c r="BE9" s="12"/>
      <c r="BH9" s="12"/>
      <c r="BM9" s="14"/>
    </row>
    <row r="10" spans="4:19" ht="30.75" customHeight="1" thickBot="1">
      <c r="D10" s="114" t="s">
        <v>59</v>
      </c>
      <c r="E10" s="68"/>
      <c r="F10" s="72"/>
      <c r="J10" s="115" t="s">
        <v>6</v>
      </c>
      <c r="K10" s="115" t="s">
        <v>5</v>
      </c>
      <c r="L10" s="115" t="s">
        <v>26</v>
      </c>
      <c r="M10" s="116" t="s">
        <v>189</v>
      </c>
      <c r="O10" s="268" t="s">
        <v>169</v>
      </c>
      <c r="P10" s="269"/>
      <c r="Q10" s="269"/>
      <c r="R10" s="211"/>
      <c r="S10" s="212"/>
    </row>
    <row r="11" spans="4:19" ht="18.75" customHeight="1">
      <c r="D11" s="250" t="s">
        <v>68</v>
      </c>
      <c r="E11" s="251"/>
      <c r="F11" s="246"/>
      <c r="J11" s="270"/>
      <c r="K11" s="272">
        <v>40</v>
      </c>
      <c r="L11" s="274">
        <v>4</v>
      </c>
      <c r="M11" s="276">
        <f>(43560/($K11/12)*L11)</f>
        <v>52272</v>
      </c>
      <c r="O11" s="254" t="s">
        <v>197</v>
      </c>
      <c r="P11" s="255"/>
      <c r="Q11" s="255"/>
      <c r="R11" s="213"/>
      <c r="S11" s="214"/>
    </row>
    <row r="12" spans="4:71" ht="18" customHeight="1" thickBot="1">
      <c r="D12" s="250" t="s">
        <v>164</v>
      </c>
      <c r="E12" s="251"/>
      <c r="F12" s="246"/>
      <c r="J12" s="271"/>
      <c r="K12" s="273"/>
      <c r="L12" s="275"/>
      <c r="M12" s="277"/>
      <c r="O12" s="215"/>
      <c r="P12" s="216"/>
      <c r="Q12" s="217"/>
      <c r="R12" s="213"/>
      <c r="S12" s="214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66"/>
      <c r="AQ12" s="22"/>
      <c r="AR12" s="66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</row>
    <row r="13" spans="4:71" ht="28.5" customHeight="1" thickBot="1">
      <c r="D13" s="114" t="s">
        <v>60</v>
      </c>
      <c r="E13" s="117"/>
      <c r="F13" s="118"/>
      <c r="G13" s="1"/>
      <c r="H13" s="119"/>
      <c r="I13" s="119"/>
      <c r="J13" s="119"/>
      <c r="K13" s="1"/>
      <c r="L13" s="22"/>
      <c r="M13" s="22"/>
      <c r="N13" s="186"/>
      <c r="O13" s="256" t="s">
        <v>192</v>
      </c>
      <c r="P13" s="257"/>
      <c r="Q13" s="257"/>
      <c r="R13" s="218"/>
      <c r="S13" s="219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66"/>
      <c r="AQ13" s="22"/>
      <c r="AR13" s="66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</row>
    <row r="14" spans="4:71" ht="6" customHeight="1" thickBot="1">
      <c r="D14" s="245" t="s">
        <v>185</v>
      </c>
      <c r="E14" s="278"/>
      <c r="O14" s="252"/>
      <c r="P14" s="253"/>
      <c r="Q14" s="253"/>
      <c r="R14" s="220"/>
      <c r="S14" s="221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66"/>
      <c r="AQ14" s="22"/>
      <c r="AR14" s="66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</row>
    <row r="15" spans="4:71" ht="4.5" customHeight="1" thickBot="1">
      <c r="D15" s="245"/>
      <c r="E15" s="278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66"/>
      <c r="AQ15" s="22"/>
      <c r="AR15" s="66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</row>
    <row r="16" spans="4:71" ht="12.75" customHeight="1">
      <c r="D16" s="245"/>
      <c r="E16" s="278"/>
      <c r="F16" s="120" t="s">
        <v>121</v>
      </c>
      <c r="G16" s="121" t="s">
        <v>125</v>
      </c>
      <c r="H16" s="122" t="s">
        <v>66</v>
      </c>
      <c r="J16" s="229" t="s">
        <v>126</v>
      </c>
      <c r="K16" s="230"/>
      <c r="L16" s="231" t="s">
        <v>4</v>
      </c>
      <c r="M16" s="232"/>
      <c r="N16" s="233"/>
      <c r="O16" s="234" t="s">
        <v>167</v>
      </c>
      <c r="P16" s="235"/>
      <c r="Q16" s="236"/>
      <c r="R16" s="237" t="s">
        <v>0</v>
      </c>
      <c r="S16" s="238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66"/>
      <c r="AQ16" s="22"/>
      <c r="AR16" s="66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</row>
    <row r="17" spans="4:71" ht="18" customHeight="1" thickBot="1">
      <c r="D17" s="279"/>
      <c r="E17" s="280"/>
      <c r="F17" s="123" t="s">
        <v>153</v>
      </c>
      <c r="G17" s="124" t="s">
        <v>154</v>
      </c>
      <c r="H17" s="125" t="s">
        <v>155</v>
      </c>
      <c r="I17" s="52">
        <v>2003</v>
      </c>
      <c r="J17" s="126">
        <f>$Y$38</f>
        <v>2010</v>
      </c>
      <c r="K17" s="127">
        <f>$Z$38</f>
        <v>2011</v>
      </c>
      <c r="L17" s="128">
        <f>$Y$38</f>
        <v>2010</v>
      </c>
      <c r="M17" s="129">
        <f>$Z$38</f>
        <v>2011</v>
      </c>
      <c r="N17" s="187" t="s">
        <v>161</v>
      </c>
      <c r="O17" s="141">
        <f>$Y$38</f>
        <v>2010</v>
      </c>
      <c r="P17" s="142">
        <f>$Z$38</f>
        <v>2011</v>
      </c>
      <c r="Q17" s="173" t="s">
        <v>161</v>
      </c>
      <c r="R17" s="130" t="s">
        <v>156</v>
      </c>
      <c r="S17" s="182" t="s">
        <v>161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 s="22"/>
      <c r="BQ17" s="22"/>
      <c r="BR17" s="22"/>
      <c r="BS17" s="22"/>
    </row>
    <row r="18" spans="4:19" ht="4.5" customHeight="1" thickBot="1">
      <c r="D18" s="53"/>
      <c r="E18" s="54"/>
      <c r="F18" s="74"/>
      <c r="G18" s="55"/>
      <c r="H18" s="56"/>
      <c r="I18" s="57"/>
      <c r="J18" s="58"/>
      <c r="K18" s="59"/>
      <c r="L18" s="60"/>
      <c r="M18" s="61"/>
      <c r="N18" s="174"/>
      <c r="O18" s="62"/>
      <c r="P18" s="63"/>
      <c r="Q18" s="174"/>
      <c r="R18" s="64"/>
      <c r="S18" s="174"/>
    </row>
    <row r="19" spans="4:19" ht="21" customHeight="1" hidden="1">
      <c r="D19" s="78" t="s">
        <v>186</v>
      </c>
      <c r="E19" s="200" t="s">
        <v>203</v>
      </c>
      <c r="F19" s="79">
        <f aca="true" t="shared" si="0" ref="F19:F27">VLOOKUP($E19,$E$40:$Q$49,2)</f>
        <v>52272</v>
      </c>
      <c r="G19" s="80">
        <f aca="true" t="shared" si="1" ref="G19:G27">VLOOKUP($E19,$E$40:$Q$49,3)</f>
        <v>40</v>
      </c>
      <c r="H19" s="81">
        <f aca="true" t="shared" si="2" ref="H19:H27">VLOOKUP($E19,$E$40:$Q$49,4)</f>
        <v>4</v>
      </c>
      <c r="I19" s="82">
        <f aca="true" t="shared" si="3" ref="I19:I27">VLOOKUP($E19,$E$40:$Q$49,5)</f>
        <v>10.4544</v>
      </c>
      <c r="J19" s="83">
        <f aca="true" t="shared" si="4" ref="J19:J27">VLOOKUP($E19,$E$40:$S$49,6)</f>
        <v>10.149902912621359</v>
      </c>
      <c r="K19" s="84">
        <f aca="true" t="shared" si="5" ref="K19:K27">VLOOKUP($E19,$E$40:$S$49,7)</f>
        <v>10.4544</v>
      </c>
      <c r="L19" s="85">
        <f aca="true" t="shared" si="6" ref="L19:L27">VLOOKUP($E19,$E$40:$S$49,8)</f>
        <v>10.149902912621359</v>
      </c>
      <c r="M19" s="86">
        <f aca="true" t="shared" si="7" ref="M19:M27">VLOOKUP($E19,$E$40:$S$49,9)</f>
        <v>10.4544</v>
      </c>
      <c r="N19" s="188">
        <f aca="true" t="shared" si="8" ref="N19:N27">VLOOKUP($E19,$E$40:$S$49,10)</f>
        <v>0.030000000000000027</v>
      </c>
      <c r="O19" s="87">
        <f aca="true" t="shared" si="9" ref="O19:O27">VLOOKUP($E19,$E$40:$S$49,11)</f>
        <v>0</v>
      </c>
      <c r="P19" s="88">
        <f aca="true" t="shared" si="10" ref="P19:P27">VLOOKUP($E19,$E$40:$S$49,12)</f>
        <v>0</v>
      </c>
      <c r="Q19" s="175">
        <f aca="true" t="shared" si="11" ref="Q19:Q27">VLOOKUP($E19,$E$40:$S$49,13)</f>
      </c>
      <c r="R19" s="89">
        <f aca="true" t="shared" si="12" ref="R19:R27">VLOOKUP($E19,$E$40:$S$49,14)</f>
        <v>0.3044970873786408</v>
      </c>
      <c r="S19" s="183">
        <f aca="true" t="shared" si="13" ref="S19:S27">VLOOKUP($E19,$E$40:$S$49,15)</f>
        <v>0.030000000000000002</v>
      </c>
    </row>
    <row r="20" spans="4:19" ht="21" customHeight="1" hidden="1">
      <c r="D20" s="78" t="s">
        <v>187</v>
      </c>
      <c r="E20" s="201" t="s">
        <v>14</v>
      </c>
      <c r="F20" s="90">
        <f t="shared" si="0"/>
        <v>52272</v>
      </c>
      <c r="G20" s="91">
        <f t="shared" si="1"/>
        <v>40</v>
      </c>
      <c r="H20" s="92">
        <f t="shared" si="2"/>
        <v>4</v>
      </c>
      <c r="I20" s="93">
        <f t="shared" si="3"/>
        <v>10.940651162790697</v>
      </c>
      <c r="J20" s="94">
        <f t="shared" si="4"/>
        <v>10.940651162790699</v>
      </c>
      <c r="K20" s="95">
        <f t="shared" si="5"/>
        <v>10.940651162790699</v>
      </c>
      <c r="L20" s="96">
        <f t="shared" si="6"/>
        <v>10.940651162790699</v>
      </c>
      <c r="M20" s="97">
        <f t="shared" si="7"/>
        <v>10.940651162790699</v>
      </c>
      <c r="N20" s="189">
        <f t="shared" si="8"/>
        <v>0</v>
      </c>
      <c r="O20" s="98">
        <f t="shared" si="9"/>
        <v>0</v>
      </c>
      <c r="P20" s="99">
        <f t="shared" si="10"/>
        <v>0</v>
      </c>
      <c r="Q20" s="176">
        <f t="shared" si="11"/>
      </c>
      <c r="R20" s="100">
        <f t="shared" si="12"/>
        <v>0</v>
      </c>
      <c r="S20" s="184">
        <f t="shared" si="13"/>
        <v>0</v>
      </c>
    </row>
    <row r="21" spans="4:19" ht="21" customHeight="1" hidden="1">
      <c r="D21" s="78" t="s">
        <v>131</v>
      </c>
      <c r="E21" s="201" t="s">
        <v>17</v>
      </c>
      <c r="F21" s="90">
        <f t="shared" si="0"/>
        <v>52272</v>
      </c>
      <c r="G21" s="91">
        <f t="shared" si="1"/>
        <v>40</v>
      </c>
      <c r="H21" s="92">
        <f t="shared" si="2"/>
        <v>4</v>
      </c>
      <c r="I21" s="93">
        <f t="shared" si="3"/>
        <v>10.940651162790697</v>
      </c>
      <c r="J21" s="94">
        <f t="shared" si="4"/>
        <v>10.940651162790699</v>
      </c>
      <c r="K21" s="95">
        <f t="shared" si="5"/>
        <v>10.940651162790699</v>
      </c>
      <c r="L21" s="96">
        <f t="shared" si="6"/>
        <v>10.940651162790699</v>
      </c>
      <c r="M21" s="97">
        <f t="shared" si="7"/>
        <v>10.940651162790699</v>
      </c>
      <c r="N21" s="189">
        <f t="shared" si="8"/>
        <v>0</v>
      </c>
      <c r="O21" s="98">
        <f t="shared" si="9"/>
        <v>0</v>
      </c>
      <c r="P21" s="99">
        <f t="shared" si="10"/>
        <v>0</v>
      </c>
      <c r="Q21" s="176">
        <f t="shared" si="11"/>
      </c>
      <c r="R21" s="100">
        <f t="shared" si="12"/>
        <v>0</v>
      </c>
      <c r="S21" s="184">
        <f t="shared" si="13"/>
        <v>0</v>
      </c>
    </row>
    <row r="22" spans="4:19" ht="21" customHeight="1" hidden="1">
      <c r="D22" s="101" t="s">
        <v>143</v>
      </c>
      <c r="E22" s="199" t="s">
        <v>76</v>
      </c>
      <c r="F22" s="90">
        <f t="shared" si="0"/>
        <v>52272</v>
      </c>
      <c r="G22" s="91">
        <f t="shared" si="1"/>
        <v>40</v>
      </c>
      <c r="H22" s="92">
        <f t="shared" si="2"/>
        <v>4</v>
      </c>
      <c r="I22" s="93">
        <f t="shared" si="3"/>
        <v>10.940651162790697</v>
      </c>
      <c r="J22" s="94">
        <f t="shared" si="4"/>
        <v>10.940651162790699</v>
      </c>
      <c r="K22" s="95">
        <f t="shared" si="5"/>
        <v>10.940651162790699</v>
      </c>
      <c r="L22" s="96">
        <f t="shared" si="6"/>
        <v>10.940651162790699</v>
      </c>
      <c r="M22" s="97">
        <f t="shared" si="7"/>
        <v>10.940651162790699</v>
      </c>
      <c r="N22" s="189">
        <f t="shared" si="8"/>
        <v>0</v>
      </c>
      <c r="O22" s="98">
        <f t="shared" si="9"/>
        <v>0</v>
      </c>
      <c r="P22" s="99">
        <f t="shared" si="10"/>
        <v>0</v>
      </c>
      <c r="Q22" s="176">
        <f t="shared" si="11"/>
      </c>
      <c r="R22" s="100">
        <f t="shared" si="12"/>
        <v>0</v>
      </c>
      <c r="S22" s="184">
        <f t="shared" si="13"/>
        <v>0</v>
      </c>
    </row>
    <row r="23" spans="4:19" ht="21" customHeight="1" hidden="1">
      <c r="D23" s="102" t="s">
        <v>188</v>
      </c>
      <c r="E23" s="103" t="s">
        <v>82</v>
      </c>
      <c r="F23" s="90">
        <f t="shared" si="0"/>
        <v>52272</v>
      </c>
      <c r="G23" s="91">
        <f t="shared" si="1"/>
        <v>40</v>
      </c>
      <c r="H23" s="92">
        <f t="shared" si="2"/>
        <v>4</v>
      </c>
      <c r="I23" s="93">
        <f t="shared" si="3"/>
        <v>10.940651162790697</v>
      </c>
      <c r="J23" s="94">
        <f t="shared" si="4"/>
        <v>10.940651162790699</v>
      </c>
      <c r="K23" s="95">
        <f t="shared" si="5"/>
        <v>10.940651162790699</v>
      </c>
      <c r="L23" s="96">
        <f t="shared" si="6"/>
        <v>10.940651162790699</v>
      </c>
      <c r="M23" s="97">
        <f t="shared" si="7"/>
        <v>10.940651162790699</v>
      </c>
      <c r="N23" s="189">
        <f t="shared" si="8"/>
        <v>0</v>
      </c>
      <c r="O23" s="98">
        <f t="shared" si="9"/>
        <v>0</v>
      </c>
      <c r="P23" s="99">
        <f t="shared" si="10"/>
        <v>0</v>
      </c>
      <c r="Q23" s="176">
        <f t="shared" si="11"/>
      </c>
      <c r="R23" s="100">
        <f t="shared" si="12"/>
        <v>0</v>
      </c>
      <c r="S23" s="184">
        <f t="shared" si="13"/>
        <v>0</v>
      </c>
    </row>
    <row r="24" spans="4:19" ht="21" customHeight="1" hidden="1">
      <c r="D24" s="102" t="s">
        <v>92</v>
      </c>
      <c r="E24" s="103" t="s">
        <v>78</v>
      </c>
      <c r="F24" s="90">
        <f t="shared" si="0"/>
        <v>52272</v>
      </c>
      <c r="G24" s="91">
        <f t="shared" si="1"/>
        <v>40</v>
      </c>
      <c r="H24" s="92">
        <f t="shared" si="2"/>
        <v>4</v>
      </c>
      <c r="I24" s="93">
        <f t="shared" si="3"/>
        <v>10.940651162790697</v>
      </c>
      <c r="J24" s="94">
        <f t="shared" si="4"/>
        <v>10.940651162790699</v>
      </c>
      <c r="K24" s="95">
        <f t="shared" si="5"/>
        <v>10.940651162790699</v>
      </c>
      <c r="L24" s="96">
        <f t="shared" si="6"/>
        <v>10.940651162790699</v>
      </c>
      <c r="M24" s="97">
        <f t="shared" si="7"/>
        <v>10.940651162790699</v>
      </c>
      <c r="N24" s="189">
        <f t="shared" si="8"/>
        <v>0</v>
      </c>
      <c r="O24" s="98">
        <f t="shared" si="9"/>
        <v>0</v>
      </c>
      <c r="P24" s="99">
        <f t="shared" si="10"/>
        <v>0</v>
      </c>
      <c r="Q24" s="176">
        <f t="shared" si="11"/>
      </c>
      <c r="R24" s="100">
        <f t="shared" si="12"/>
        <v>0</v>
      </c>
      <c r="S24" s="184">
        <f t="shared" si="13"/>
        <v>0</v>
      </c>
    </row>
    <row r="25" spans="4:19" ht="21" customHeight="1" hidden="1">
      <c r="D25" s="102" t="s">
        <v>158</v>
      </c>
      <c r="E25" s="103" t="s">
        <v>88</v>
      </c>
      <c r="F25" s="90">
        <f t="shared" si="0"/>
        <v>52272</v>
      </c>
      <c r="G25" s="91">
        <f t="shared" si="1"/>
        <v>40</v>
      </c>
      <c r="H25" s="92">
        <f t="shared" si="2"/>
        <v>4</v>
      </c>
      <c r="I25" s="93">
        <f t="shared" si="3"/>
      </c>
      <c r="J25" s="94">
        <f t="shared" si="4"/>
        <v>13.612499999999999</v>
      </c>
      <c r="K25" s="95">
        <f t="shared" si="5"/>
        <v>13.068</v>
      </c>
      <c r="L25" s="96">
        <f t="shared" si="6"/>
        <v>13.612499999999999</v>
      </c>
      <c r="M25" s="97">
        <f t="shared" si="7"/>
        <v>13.068</v>
      </c>
      <c r="N25" s="189">
        <f t="shared" si="8"/>
        <v>-0.039999999999999925</v>
      </c>
      <c r="O25" s="98">
        <f t="shared" si="9"/>
        <v>0</v>
      </c>
      <c r="P25" s="99">
        <f t="shared" si="10"/>
        <v>0</v>
      </c>
      <c r="Q25" s="176">
        <f t="shared" si="11"/>
      </c>
      <c r="R25" s="100">
        <f t="shared" si="12"/>
        <v>-0.5444999999999993</v>
      </c>
      <c r="S25" s="184">
        <f t="shared" si="13"/>
        <v>-0.03999999999999995</v>
      </c>
    </row>
    <row r="26" spans="4:19" ht="21" customHeight="1" hidden="1">
      <c r="D26" s="102" t="s">
        <v>159</v>
      </c>
      <c r="E26" s="103" t="s">
        <v>22</v>
      </c>
      <c r="F26" s="90">
        <f t="shared" si="0"/>
        <v>52272</v>
      </c>
      <c r="G26" s="91">
        <f t="shared" si="1"/>
        <v>40</v>
      </c>
      <c r="H26" s="92">
        <f t="shared" si="2"/>
        <v>4</v>
      </c>
      <c r="I26" s="93">
        <f t="shared" si="3"/>
        <v>0</v>
      </c>
      <c r="J26" s="94">
        <f t="shared" si="4"/>
        <v>0</v>
      </c>
      <c r="K26" s="95">
        <f t="shared" si="5"/>
        <v>34.279977599999995</v>
      </c>
      <c r="L26" s="96">
        <f t="shared" si="6"/>
      </c>
      <c r="M26" s="97">
        <f t="shared" si="7"/>
        <v>34.279977599999995</v>
      </c>
      <c r="N26" s="189" t="str">
        <f t="shared" si="8"/>
        <v>New</v>
      </c>
      <c r="O26" s="98">
        <f t="shared" si="9"/>
      </c>
      <c r="P26" s="99">
        <f t="shared" si="10"/>
        <v>0</v>
      </c>
      <c r="Q26" s="176" t="str">
        <f t="shared" si="11"/>
        <v>New</v>
      </c>
      <c r="R26" s="100" t="str">
        <f t="shared" si="12"/>
        <v>New</v>
      </c>
      <c r="S26" s="184">
        <f t="shared" si="13"/>
      </c>
    </row>
    <row r="27" spans="4:19" ht="21" customHeight="1" hidden="1" thickBot="1">
      <c r="D27" s="104" t="s">
        <v>160</v>
      </c>
      <c r="E27" s="105" t="s">
        <v>204</v>
      </c>
      <c r="F27" s="106">
        <f t="shared" si="0"/>
        <v>52272</v>
      </c>
      <c r="G27" s="91">
        <f t="shared" si="1"/>
        <v>40</v>
      </c>
      <c r="H27" s="92">
        <f t="shared" si="2"/>
        <v>4</v>
      </c>
      <c r="I27" s="93">
        <f t="shared" si="3"/>
      </c>
      <c r="J27" s="107">
        <f t="shared" si="4"/>
        <v>14.520000000000001</v>
      </c>
      <c r="K27" s="108">
        <f t="shared" si="5"/>
        <v>14.066738428417654</v>
      </c>
      <c r="L27" s="109">
        <f t="shared" si="6"/>
        <v>14.520000000000001</v>
      </c>
      <c r="M27" s="110">
        <f t="shared" si="7"/>
        <v>14.066738428417654</v>
      </c>
      <c r="N27" s="190">
        <f t="shared" si="8"/>
        <v>-0.031216361679225035</v>
      </c>
      <c r="O27" s="111">
        <f t="shared" si="9"/>
        <v>0</v>
      </c>
      <c r="P27" s="112">
        <f t="shared" si="10"/>
        <v>0</v>
      </c>
      <c r="Q27" s="177">
        <f t="shared" si="11"/>
      </c>
      <c r="R27" s="113">
        <f t="shared" si="12"/>
        <v>-0.45326157158234714</v>
      </c>
      <c r="S27" s="185">
        <f t="shared" si="13"/>
        <v>-0.031216361679225008</v>
      </c>
    </row>
    <row r="28" spans="3:65" s="4" customFormat="1" ht="6.75" customHeight="1" hidden="1">
      <c r="C28" s="41"/>
      <c r="D28" s="41"/>
      <c r="E28" s="41"/>
      <c r="F28" s="75"/>
      <c r="G28" s="41"/>
      <c r="H28" s="41"/>
      <c r="I28" s="42"/>
      <c r="J28" s="13"/>
      <c r="K28" s="13"/>
      <c r="L28" s="44"/>
      <c r="M28" s="44"/>
      <c r="N28" s="179"/>
      <c r="O28" s="45"/>
      <c r="P28" s="46"/>
      <c r="Q28" s="178"/>
      <c r="R28" s="43"/>
      <c r="S28" s="179"/>
      <c r="T28" s="3"/>
      <c r="U28" s="41"/>
      <c r="W28" s="3"/>
      <c r="X28" s="12"/>
      <c r="Y28" s="12"/>
      <c r="Z28" s="12"/>
      <c r="AA28" s="12"/>
      <c r="AB28" s="12"/>
      <c r="AC28" s="12"/>
      <c r="AD28" s="12"/>
      <c r="AE28" s="12"/>
      <c r="AF28" s="12"/>
      <c r="AG28" s="13"/>
      <c r="AH28" s="13"/>
      <c r="AI28" s="13"/>
      <c r="AJ28" s="12"/>
      <c r="AK28" s="12"/>
      <c r="AL28" s="12"/>
      <c r="AM28" s="12"/>
      <c r="AN28" s="12"/>
      <c r="AO28" s="12"/>
      <c r="AP28" s="65"/>
      <c r="AQ28" s="12"/>
      <c r="AR28" s="65"/>
      <c r="AS28" s="12"/>
      <c r="AT28" s="13"/>
      <c r="AU28" s="13"/>
      <c r="AV28" s="13"/>
      <c r="AW28" s="13"/>
      <c r="AX28" s="13"/>
      <c r="AY28" s="3"/>
      <c r="AZ28" s="3"/>
      <c r="BA28" s="12"/>
      <c r="BB28" s="12"/>
      <c r="BC28" s="12"/>
      <c r="BD28" s="12"/>
      <c r="BE28" s="12"/>
      <c r="BH28" s="12"/>
      <c r="BM28" s="14"/>
    </row>
    <row r="29" spans="4:65" s="4" customFormat="1" ht="13.5" customHeight="1" hidden="1">
      <c r="D29" s="4" t="s">
        <v>9</v>
      </c>
      <c r="F29" s="76"/>
      <c r="G29" s="48"/>
      <c r="H29" s="49"/>
      <c r="I29" s="42"/>
      <c r="J29" s="13"/>
      <c r="K29" s="13"/>
      <c r="L29" s="44"/>
      <c r="M29" s="44"/>
      <c r="N29" s="179"/>
      <c r="O29" s="45"/>
      <c r="P29" s="46"/>
      <c r="Q29" s="178"/>
      <c r="R29" s="43"/>
      <c r="S29" s="179"/>
      <c r="T29" s="3"/>
      <c r="W29" s="3"/>
      <c r="X29" s="12"/>
      <c r="Y29" s="12"/>
      <c r="Z29" s="12"/>
      <c r="AA29" s="12"/>
      <c r="AB29" s="12"/>
      <c r="AC29" s="12"/>
      <c r="AD29" s="12"/>
      <c r="AE29" s="12"/>
      <c r="AF29" s="12"/>
      <c r="AG29" s="13"/>
      <c r="AH29" s="13"/>
      <c r="AI29" s="13"/>
      <c r="AJ29" s="12"/>
      <c r="AK29" s="12"/>
      <c r="AL29" s="12"/>
      <c r="AM29" s="12"/>
      <c r="AN29" s="12"/>
      <c r="AO29" s="12"/>
      <c r="AP29" s="65"/>
      <c r="AQ29" s="12"/>
      <c r="AR29" s="65"/>
      <c r="AS29" s="12"/>
      <c r="AT29" s="13"/>
      <c r="AU29" s="13"/>
      <c r="AV29" s="13"/>
      <c r="AW29" s="13"/>
      <c r="AX29" s="13"/>
      <c r="AY29" s="3"/>
      <c r="AZ29" s="3"/>
      <c r="BA29" s="12"/>
      <c r="BB29" s="12"/>
      <c r="BC29" s="12"/>
      <c r="BD29" s="12"/>
      <c r="BE29" s="12"/>
      <c r="BH29" s="12"/>
      <c r="BM29" s="14"/>
    </row>
    <row r="30" spans="1:65" s="165" customFormat="1" ht="18" customHeight="1" hidden="1">
      <c r="A30" s="198"/>
      <c r="B30" s="198"/>
      <c r="C30" s="198"/>
      <c r="D30" s="4" t="s">
        <v>168</v>
      </c>
      <c r="E30" s="4"/>
      <c r="F30" s="76"/>
      <c r="G30" s="48"/>
      <c r="H30" s="49"/>
      <c r="I30" s="42"/>
      <c r="J30" s="13"/>
      <c r="K30" s="13"/>
      <c r="L30" s="44"/>
      <c r="M30" s="44"/>
      <c r="N30" s="179"/>
      <c r="O30" s="45"/>
      <c r="P30" s="46"/>
      <c r="Q30" s="179"/>
      <c r="R30" s="43"/>
      <c r="S30" s="179"/>
      <c r="T30" s="198"/>
      <c r="U30" s="198"/>
      <c r="V30" s="198"/>
      <c r="W30" s="198"/>
      <c r="X30" s="167"/>
      <c r="Y30" s="167"/>
      <c r="Z30" s="167"/>
      <c r="AA30" s="167"/>
      <c r="AB30" s="167"/>
      <c r="AC30" s="167"/>
      <c r="AD30" s="167"/>
      <c r="AE30" s="167"/>
      <c r="AF30" s="167"/>
      <c r="AG30" s="168"/>
      <c r="AH30" s="168"/>
      <c r="AI30" s="168"/>
      <c r="AJ30" s="167"/>
      <c r="AK30" s="167"/>
      <c r="AL30" s="167"/>
      <c r="AM30" s="167"/>
      <c r="AN30" s="167"/>
      <c r="AO30" s="167"/>
      <c r="AP30" s="169"/>
      <c r="AQ30" s="167"/>
      <c r="AR30" s="169"/>
      <c r="AS30" s="167"/>
      <c r="AT30" s="168"/>
      <c r="AU30" s="168"/>
      <c r="AV30" s="168"/>
      <c r="AW30" s="168"/>
      <c r="AX30" s="168"/>
      <c r="AY30" s="166"/>
      <c r="AZ30" s="166"/>
      <c r="BA30" s="167"/>
      <c r="BB30" s="167"/>
      <c r="BC30" s="167"/>
      <c r="BD30" s="167"/>
      <c r="BE30" s="167"/>
      <c r="BH30" s="167"/>
      <c r="BM30" s="170"/>
    </row>
    <row r="31" spans="4:65" s="165" customFormat="1" ht="18" customHeight="1" hidden="1">
      <c r="D31" s="4" t="s">
        <v>91</v>
      </c>
      <c r="E31" s="4"/>
      <c r="F31" s="76"/>
      <c r="G31" s="48"/>
      <c r="H31" s="49"/>
      <c r="I31" s="42"/>
      <c r="J31" s="13"/>
      <c r="K31" s="13"/>
      <c r="L31" s="44"/>
      <c r="M31" s="44"/>
      <c r="N31" s="179"/>
      <c r="O31" s="45"/>
      <c r="P31" s="46"/>
      <c r="Q31" s="179"/>
      <c r="R31" s="43"/>
      <c r="S31" s="179"/>
      <c r="T31" s="166"/>
      <c r="W31" s="166"/>
      <c r="X31" s="167"/>
      <c r="Y31" s="167"/>
      <c r="Z31" s="167"/>
      <c r="AA31" s="167"/>
      <c r="AB31" s="167"/>
      <c r="AC31" s="167"/>
      <c r="AD31" s="167"/>
      <c r="AE31" s="167"/>
      <c r="AF31" s="167"/>
      <c r="AG31" s="168"/>
      <c r="AH31" s="168"/>
      <c r="AI31" s="168"/>
      <c r="AJ31" s="167"/>
      <c r="AK31" s="167"/>
      <c r="AL31" s="167"/>
      <c r="AM31" s="167"/>
      <c r="AN31" s="167"/>
      <c r="AO31" s="167"/>
      <c r="AP31" s="169"/>
      <c r="AQ31" s="167"/>
      <c r="AR31" s="169"/>
      <c r="AS31" s="167"/>
      <c r="AT31" s="168"/>
      <c r="AU31" s="168"/>
      <c r="AV31" s="168"/>
      <c r="AW31" s="168"/>
      <c r="AX31" s="168"/>
      <c r="AY31" s="166"/>
      <c r="AZ31" s="166"/>
      <c r="BA31" s="167"/>
      <c r="BB31" s="167"/>
      <c r="BC31" s="167"/>
      <c r="BD31" s="167"/>
      <c r="BE31" s="167"/>
      <c r="BH31" s="167"/>
      <c r="BM31" s="170"/>
    </row>
    <row r="32" spans="4:65" s="165" customFormat="1" ht="18" customHeight="1" hidden="1">
      <c r="D32" s="4" t="s">
        <v>113</v>
      </c>
      <c r="E32" s="4"/>
      <c r="F32" s="76"/>
      <c r="G32" s="48"/>
      <c r="H32" s="49"/>
      <c r="I32" s="42"/>
      <c r="J32" s="13"/>
      <c r="K32" s="13"/>
      <c r="L32" s="44"/>
      <c r="M32" s="44"/>
      <c r="N32" s="179"/>
      <c r="O32" s="45"/>
      <c r="P32" s="46"/>
      <c r="Q32" s="179"/>
      <c r="R32" s="43"/>
      <c r="S32" s="179"/>
      <c r="T32" s="166"/>
      <c r="W32" s="166"/>
      <c r="X32" s="167"/>
      <c r="Y32" s="167"/>
      <c r="Z32" s="167"/>
      <c r="AA32" s="167"/>
      <c r="AB32" s="167"/>
      <c r="AC32" s="167"/>
      <c r="AD32" s="167"/>
      <c r="AE32" s="167"/>
      <c r="AF32" s="167"/>
      <c r="AG32" s="168"/>
      <c r="AH32" s="168"/>
      <c r="AI32" s="168"/>
      <c r="AJ32" s="167"/>
      <c r="AK32" s="167"/>
      <c r="AL32" s="167"/>
      <c r="AM32" s="167"/>
      <c r="AN32" s="167"/>
      <c r="AO32" s="167"/>
      <c r="AP32" s="169"/>
      <c r="AQ32" s="167"/>
      <c r="AR32" s="169"/>
      <c r="AS32" s="167"/>
      <c r="AT32" s="168"/>
      <c r="AU32" s="168"/>
      <c r="AV32" s="168"/>
      <c r="AW32" s="168"/>
      <c r="AX32" s="168"/>
      <c r="AY32" s="166"/>
      <c r="AZ32" s="166"/>
      <c r="BA32" s="167"/>
      <c r="BB32" s="167"/>
      <c r="BC32" s="167"/>
      <c r="BD32" s="167"/>
      <c r="BE32" s="167"/>
      <c r="BH32" s="167"/>
      <c r="BM32" s="170"/>
    </row>
    <row r="33" spans="4:65" s="165" customFormat="1" ht="9" customHeight="1" hidden="1">
      <c r="D33" s="222" t="s">
        <v>201</v>
      </c>
      <c r="E33" s="4"/>
      <c r="F33" s="76"/>
      <c r="G33" s="48"/>
      <c r="H33" s="49"/>
      <c r="I33" s="42"/>
      <c r="J33" s="13"/>
      <c r="K33" s="13"/>
      <c r="L33" s="44"/>
      <c r="M33" s="44"/>
      <c r="N33" s="179"/>
      <c r="O33" s="45"/>
      <c r="P33" s="46"/>
      <c r="Q33" s="179"/>
      <c r="R33" s="43"/>
      <c r="S33" s="179"/>
      <c r="T33" s="166"/>
      <c r="W33" s="166"/>
      <c r="X33" s="167"/>
      <c r="Y33" s="167"/>
      <c r="Z33" s="167"/>
      <c r="AA33" s="167"/>
      <c r="AB33" s="167"/>
      <c r="AC33" s="167"/>
      <c r="AD33" s="167"/>
      <c r="AE33" s="167"/>
      <c r="AF33" s="167"/>
      <c r="AG33" s="168"/>
      <c r="AH33" s="168"/>
      <c r="AI33" s="168"/>
      <c r="AJ33" s="167"/>
      <c r="AK33" s="167"/>
      <c r="AL33" s="167"/>
      <c r="AM33" s="167"/>
      <c r="AN33" s="167"/>
      <c r="AO33" s="167"/>
      <c r="AP33" s="169"/>
      <c r="AQ33" s="167"/>
      <c r="AR33" s="169"/>
      <c r="AS33" s="167"/>
      <c r="AT33" s="168"/>
      <c r="AU33" s="168"/>
      <c r="AV33" s="168"/>
      <c r="AW33" s="168"/>
      <c r="AX33" s="168"/>
      <c r="AY33" s="166"/>
      <c r="AZ33" s="166"/>
      <c r="BA33" s="167"/>
      <c r="BB33" s="167"/>
      <c r="BC33" s="167"/>
      <c r="BD33" s="167"/>
      <c r="BE33" s="167"/>
      <c r="BH33" s="167"/>
      <c r="BM33" s="170"/>
    </row>
    <row r="34" spans="4:65" s="165" customFormat="1" ht="9" customHeight="1" hidden="1"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166"/>
      <c r="W34" s="166"/>
      <c r="X34" s="167"/>
      <c r="Y34" s="167"/>
      <c r="Z34" s="167"/>
      <c r="AA34" s="167"/>
      <c r="AB34" s="167"/>
      <c r="AC34" s="167"/>
      <c r="AD34" s="167"/>
      <c r="AE34" s="167"/>
      <c r="AF34" s="167"/>
      <c r="AG34" s="168"/>
      <c r="AH34" s="168"/>
      <c r="AI34" s="168"/>
      <c r="AJ34" s="167"/>
      <c r="AK34" s="167"/>
      <c r="AL34" s="167"/>
      <c r="AM34" s="167"/>
      <c r="AN34" s="167"/>
      <c r="AO34" s="167"/>
      <c r="AP34" s="169"/>
      <c r="AQ34" s="167"/>
      <c r="AR34" s="169"/>
      <c r="AS34" s="167"/>
      <c r="AT34" s="168"/>
      <c r="AU34" s="168"/>
      <c r="AV34" s="168"/>
      <c r="AW34" s="168"/>
      <c r="AX34" s="168"/>
      <c r="AY34" s="166"/>
      <c r="AZ34" s="166"/>
      <c r="BA34" s="167"/>
      <c r="BB34" s="167"/>
      <c r="BC34" s="167"/>
      <c r="BD34" s="167"/>
      <c r="BE34" s="167"/>
      <c r="BH34" s="167"/>
      <c r="BM34" s="170"/>
    </row>
    <row r="35" spans="4:65" s="4" customFormat="1" ht="27.75" customHeight="1" hidden="1" thickBot="1"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3"/>
      <c r="W35" s="3"/>
      <c r="X35" s="12"/>
      <c r="Y35" s="12"/>
      <c r="Z35" s="12"/>
      <c r="AA35" s="12"/>
      <c r="AB35" s="12"/>
      <c r="AC35" s="12"/>
      <c r="AD35" s="12"/>
      <c r="AE35" s="12"/>
      <c r="AF35" s="12"/>
      <c r="AG35" s="13"/>
      <c r="AH35" s="13"/>
      <c r="AI35" s="13"/>
      <c r="AJ35" s="12"/>
      <c r="AK35" s="12"/>
      <c r="AL35" s="12"/>
      <c r="AM35" s="12"/>
      <c r="AN35" s="12"/>
      <c r="AO35" s="12"/>
      <c r="AP35" s="65"/>
      <c r="AQ35" s="12"/>
      <c r="AR35" s="65"/>
      <c r="AS35" s="12"/>
      <c r="AT35" s="13"/>
      <c r="AU35" s="13"/>
      <c r="AV35" s="13"/>
      <c r="AW35" s="13"/>
      <c r="AX35" s="13"/>
      <c r="AY35" s="3"/>
      <c r="AZ35" s="3"/>
      <c r="BA35" s="12"/>
      <c r="BB35" s="12"/>
      <c r="BC35" s="12"/>
      <c r="BD35" s="12"/>
      <c r="BE35" s="12"/>
      <c r="BH35" s="12"/>
      <c r="BM35" s="14"/>
    </row>
    <row r="36" spans="4:19" ht="18" customHeight="1" hidden="1" thickBot="1" thickTop="1">
      <c r="D36" s="193" t="s">
        <v>86</v>
      </c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5"/>
    </row>
    <row r="37" spans="4:61" ht="18.75" customHeight="1" hidden="1" thickTop="1">
      <c r="D37" s="131"/>
      <c r="E37" s="132"/>
      <c r="F37" s="120" t="s">
        <v>121</v>
      </c>
      <c r="G37" s="121" t="s">
        <v>125</v>
      </c>
      <c r="H37" s="133" t="s">
        <v>66</v>
      </c>
      <c r="I37" s="134" t="s">
        <v>126</v>
      </c>
      <c r="J37" s="229" t="s">
        <v>126</v>
      </c>
      <c r="K37" s="230"/>
      <c r="L37" s="231" t="s">
        <v>4</v>
      </c>
      <c r="M37" s="232"/>
      <c r="N37" s="233"/>
      <c r="O37" s="234" t="s">
        <v>167</v>
      </c>
      <c r="P37" s="235"/>
      <c r="Q37" s="236"/>
      <c r="R37" s="237" t="s">
        <v>0</v>
      </c>
      <c r="S37" s="238"/>
      <c r="T37" s="1"/>
      <c r="W37" s="1"/>
      <c r="X37" s="23" t="s">
        <v>62</v>
      </c>
      <c r="Y37" s="23" t="s">
        <v>62</v>
      </c>
      <c r="Z37" s="23" t="s">
        <v>62</v>
      </c>
      <c r="AA37" s="23" t="s">
        <v>63</v>
      </c>
      <c r="AB37" s="23"/>
      <c r="AC37" s="23" t="s">
        <v>63</v>
      </c>
      <c r="AD37" s="23"/>
      <c r="AE37" s="23" t="s">
        <v>63</v>
      </c>
      <c r="AF37" s="23"/>
      <c r="AG37" s="24" t="s">
        <v>64</v>
      </c>
      <c r="AH37" s="24" t="s">
        <v>64</v>
      </c>
      <c r="AI37" s="24" t="s">
        <v>64</v>
      </c>
      <c r="AJ37" s="135" t="s">
        <v>41</v>
      </c>
      <c r="AK37" s="26"/>
      <c r="AL37" s="135" t="s">
        <v>225</v>
      </c>
      <c r="AM37" s="26"/>
      <c r="AN37" s="135" t="s">
        <v>146</v>
      </c>
      <c r="AO37" s="26"/>
      <c r="AP37" s="67">
        <v>2009</v>
      </c>
      <c r="AQ37" s="23" t="s">
        <v>147</v>
      </c>
      <c r="AR37" s="67">
        <v>2010</v>
      </c>
      <c r="AS37" s="23" t="s">
        <v>148</v>
      </c>
      <c r="AT37" s="239" t="s">
        <v>31</v>
      </c>
      <c r="AU37" s="240"/>
      <c r="AV37" s="241"/>
      <c r="AW37" s="242" t="s">
        <v>32</v>
      </c>
      <c r="AX37" s="243"/>
      <c r="AY37" s="244"/>
      <c r="AZ37" s="13" t="s">
        <v>195</v>
      </c>
      <c r="BA37" s="136">
        <v>2011</v>
      </c>
      <c r="BB37" s="136">
        <v>2011</v>
      </c>
      <c r="BC37" s="136">
        <v>2011</v>
      </c>
      <c r="BD37" s="136">
        <v>2011</v>
      </c>
      <c r="BE37" s="136">
        <v>2011</v>
      </c>
      <c r="BF37" s="136">
        <v>2010</v>
      </c>
      <c r="BG37" s="136">
        <v>2010</v>
      </c>
      <c r="BH37" s="136">
        <v>2010</v>
      </c>
      <c r="BI37" s="136">
        <v>2010</v>
      </c>
    </row>
    <row r="38" spans="4:65" ht="18.75" customHeight="1" hidden="1" thickBot="1">
      <c r="D38" s="137" t="s">
        <v>151</v>
      </c>
      <c r="E38" s="138" t="s">
        <v>152</v>
      </c>
      <c r="F38" s="123" t="s">
        <v>153</v>
      </c>
      <c r="G38" s="124" t="s">
        <v>154</v>
      </c>
      <c r="H38" s="139" t="s">
        <v>155</v>
      </c>
      <c r="I38" s="140">
        <v>2003</v>
      </c>
      <c r="J38" s="126">
        <f>$Y$38</f>
        <v>2010</v>
      </c>
      <c r="K38" s="127">
        <f>$Z$38</f>
        <v>2011</v>
      </c>
      <c r="L38" s="128">
        <f>$Y$38</f>
        <v>2010</v>
      </c>
      <c r="M38" s="129">
        <f>$Z$38</f>
        <v>2011</v>
      </c>
      <c r="N38" s="187" t="s">
        <v>161</v>
      </c>
      <c r="O38" s="141">
        <f>$Y$38</f>
        <v>2010</v>
      </c>
      <c r="P38" s="142">
        <f>$Z$38</f>
        <v>2011</v>
      </c>
      <c r="Q38" s="173" t="s">
        <v>161</v>
      </c>
      <c r="R38" s="130" t="s">
        <v>156</v>
      </c>
      <c r="S38" s="182" t="s">
        <v>161</v>
      </c>
      <c r="X38" s="143">
        <v>2009</v>
      </c>
      <c r="Y38" s="143">
        <v>2010</v>
      </c>
      <c r="Z38" s="143">
        <v>2011</v>
      </c>
      <c r="AA38" s="26">
        <v>2009</v>
      </c>
      <c r="AB38" s="26" t="s">
        <v>84</v>
      </c>
      <c r="AC38" s="26">
        <v>2010</v>
      </c>
      <c r="AD38" s="26" t="s">
        <v>224</v>
      </c>
      <c r="AE38" s="26">
        <v>2011</v>
      </c>
      <c r="AF38" s="26" t="s">
        <v>145</v>
      </c>
      <c r="AG38" s="143">
        <v>2009</v>
      </c>
      <c r="AH38" s="143">
        <v>2010</v>
      </c>
      <c r="AI38" s="143">
        <v>2011</v>
      </c>
      <c r="AJ38" s="26" t="s">
        <v>165</v>
      </c>
      <c r="AK38" s="26" t="s">
        <v>65</v>
      </c>
      <c r="AL38" s="26" t="s">
        <v>165</v>
      </c>
      <c r="AM38" s="26" t="s">
        <v>65</v>
      </c>
      <c r="AN38" s="26" t="s">
        <v>165</v>
      </c>
      <c r="AO38" s="26" t="s">
        <v>65</v>
      </c>
      <c r="AP38" s="67" t="s">
        <v>65</v>
      </c>
      <c r="AQ38" s="23" t="s">
        <v>226</v>
      </c>
      <c r="AR38" s="67" t="s">
        <v>65</v>
      </c>
      <c r="AS38" s="23" t="s">
        <v>227</v>
      </c>
      <c r="AT38" s="28" t="s">
        <v>66</v>
      </c>
      <c r="AU38" s="28" t="s">
        <v>63</v>
      </c>
      <c r="AV38" s="28" t="s">
        <v>64</v>
      </c>
      <c r="AW38" s="24" t="s">
        <v>66</v>
      </c>
      <c r="AX38" s="24" t="s">
        <v>63</v>
      </c>
      <c r="AY38" s="24" t="s">
        <v>67</v>
      </c>
      <c r="AZ38" s="13" t="s">
        <v>196</v>
      </c>
      <c r="BA38" s="5" t="s">
        <v>162</v>
      </c>
      <c r="BB38" s="5" t="s">
        <v>153</v>
      </c>
      <c r="BC38" s="5" t="s">
        <v>163</v>
      </c>
      <c r="BD38" s="5" t="s">
        <v>237</v>
      </c>
      <c r="BE38" s="5" t="s">
        <v>117</v>
      </c>
      <c r="BF38" s="5" t="s">
        <v>162</v>
      </c>
      <c r="BG38" s="5" t="s">
        <v>238</v>
      </c>
      <c r="BH38" s="5" t="s">
        <v>163</v>
      </c>
      <c r="BI38" s="1" t="s">
        <v>239</v>
      </c>
      <c r="BK38" s="1" t="s">
        <v>118</v>
      </c>
      <c r="BL38" s="1" t="s">
        <v>119</v>
      </c>
      <c r="BM38" s="7" t="s">
        <v>120</v>
      </c>
    </row>
    <row r="39" spans="4:52" ht="7.5" customHeight="1" hidden="1" thickBot="1">
      <c r="D39" s="53"/>
      <c r="E39" s="144"/>
      <c r="F39" s="74"/>
      <c r="G39" s="55"/>
      <c r="H39" s="56"/>
      <c r="I39" s="57"/>
      <c r="J39" s="58"/>
      <c r="K39" s="59"/>
      <c r="L39" s="60"/>
      <c r="M39" s="61"/>
      <c r="N39" s="174"/>
      <c r="O39" s="62"/>
      <c r="P39" s="63"/>
      <c r="Q39" s="174"/>
      <c r="R39" s="64"/>
      <c r="S39" s="174"/>
      <c r="X39" s="145"/>
      <c r="Y39" s="145"/>
      <c r="Z39" s="145"/>
      <c r="AA39" s="145"/>
      <c r="AB39" s="145"/>
      <c r="AC39" s="145"/>
      <c r="AD39" s="145"/>
      <c r="AE39" s="145"/>
      <c r="AF39" s="145"/>
      <c r="AG39" s="146"/>
      <c r="AH39" s="146"/>
      <c r="AI39" s="146"/>
      <c r="AJ39" s="145"/>
      <c r="AK39" s="145"/>
      <c r="AL39" s="145"/>
      <c r="AM39" s="145"/>
      <c r="AN39" s="145"/>
      <c r="AO39" s="145"/>
      <c r="AP39" s="147"/>
      <c r="AQ39" s="145"/>
      <c r="AR39" s="147"/>
      <c r="AS39" s="145"/>
      <c r="AT39" s="146"/>
      <c r="AU39" s="146"/>
      <c r="AV39" s="146"/>
      <c r="AW39" s="146"/>
      <c r="AX39" s="146"/>
      <c r="AY39" s="146"/>
      <c r="AZ39" s="148"/>
    </row>
    <row r="40" spans="2:66" ht="18.75" customHeight="1">
      <c r="B40" s="4" t="s">
        <v>12</v>
      </c>
      <c r="C40" s="4" t="s">
        <v>96</v>
      </c>
      <c r="D40" s="157" t="s">
        <v>191</v>
      </c>
      <c r="E40" s="158" t="s">
        <v>229</v>
      </c>
      <c r="F40" s="79">
        <f aca="true" t="shared" si="14" ref="F40:F49">IF($J$11&gt;0,$J$11,$M$11)</f>
        <v>52272</v>
      </c>
      <c r="G40" s="80">
        <f aca="true" t="shared" si="15" ref="G40:G49">$K$11</f>
        <v>40</v>
      </c>
      <c r="H40" s="149">
        <f aca="true" t="shared" si="16" ref="H40:H49">$L$11</f>
        <v>4</v>
      </c>
      <c r="I40" s="150">
        <f aca="true" t="shared" si="17" ref="I40:I49">IF(AK40="","",IF($F40&gt;0,($F40/$AK40)*AG40,IF($G40&gt;0,(((43560/($G40/12))*$H40)/$AK40)*AG40,0)))</f>
        <v>10.4544</v>
      </c>
      <c r="J40" s="83">
        <f aca="true" t="shared" si="18" ref="J40:J49">BI40</f>
        <v>10.149902912621359</v>
      </c>
      <c r="K40" s="84">
        <f aca="true" t="shared" si="19" ref="K40:K49">BD40</f>
        <v>10.4544</v>
      </c>
      <c r="L40" s="151">
        <f aca="true" t="shared" si="20" ref="L40:L49">BG40</f>
        <v>10.149902912621359</v>
      </c>
      <c r="M40" s="152">
        <f aca="true" t="shared" si="21" ref="M40:M49">BB40</f>
        <v>10.4544</v>
      </c>
      <c r="N40" s="188">
        <f aca="true" t="shared" si="22" ref="N40:N49">IF(R40="New","New",(M40/L40)-1)</f>
        <v>0.030000000000000027</v>
      </c>
      <c r="O40" s="153">
        <f aca="true" t="shared" si="23" ref="O40:O49">IF(AW40="","",BH40)</f>
        <v>0</v>
      </c>
      <c r="P40" s="154">
        <f aca="true" t="shared" si="24" ref="P40:P49">IF(BC40="","",BC40)</f>
        <v>0</v>
      </c>
      <c r="Q40" s="176">
        <f aca="true" t="shared" si="25" ref="Q40:Q49">IF(R40="New","New",IF(AX40="","",(P40/O40)-1))</f>
      </c>
      <c r="R40" s="100">
        <f aca="true" t="shared" si="26" ref="R40:R49">IF(J40="","New",IF(J40=0,"New",K40-J40))</f>
        <v>0.3044970873786408</v>
      </c>
      <c r="S40" s="184">
        <f aca="true" t="shared" si="27" ref="S40:S49">IF(R40="New","",R40/J40)</f>
        <v>0.030000000000000002</v>
      </c>
      <c r="U40" s="208" t="s">
        <v>96</v>
      </c>
      <c r="V40" s="4" t="s">
        <v>12</v>
      </c>
      <c r="X40" s="155">
        <v>50</v>
      </c>
      <c r="Y40" s="155">
        <v>50</v>
      </c>
      <c r="Z40" s="155">
        <v>50</v>
      </c>
      <c r="AA40" s="155"/>
      <c r="AB40" s="155"/>
      <c r="AC40" s="155"/>
      <c r="AD40" s="155"/>
      <c r="AE40" s="155"/>
      <c r="AF40" s="155"/>
      <c r="AG40" s="32">
        <f aca="true" t="shared" si="28" ref="AG40:AG49">X40+(AA40+AB40)</f>
        <v>50</v>
      </c>
      <c r="AH40" s="32">
        <f aca="true" t="shared" si="29" ref="AH40:AH49">Y40+(AC40+AD40)</f>
        <v>50</v>
      </c>
      <c r="AI40" s="32">
        <f aca="true" t="shared" si="30" ref="AI40:AI49">Z40+(AE40+AF40)</f>
        <v>50</v>
      </c>
      <c r="AJ40" s="33"/>
      <c r="AK40" s="204">
        <v>250000</v>
      </c>
      <c r="AL40" s="204">
        <v>5150</v>
      </c>
      <c r="AM40" s="204">
        <v>257500</v>
      </c>
      <c r="AN40" s="33"/>
      <c r="AO40" s="204">
        <v>250000</v>
      </c>
      <c r="AP40" s="67">
        <f aca="true" t="shared" si="31" ref="AP40:AP49">AK40</f>
        <v>250000</v>
      </c>
      <c r="AQ40" s="34">
        <f aca="true" t="shared" si="32" ref="AQ40:AQ49">IF(AK40&gt;0,AM40/AK40*100,"Not Avail.")</f>
        <v>103</v>
      </c>
      <c r="AR40" s="67">
        <f aca="true" t="shared" si="33" ref="AR40:AR49">AM40</f>
        <v>257500</v>
      </c>
      <c r="AS40" s="34">
        <f aca="true" t="shared" si="34" ref="AS40:AS49">IF(AM40&gt;0,AO40/AM40*100,"Not Avail.")</f>
        <v>97.0873786407767</v>
      </c>
      <c r="AT40" s="28">
        <f aca="true" t="shared" si="35" ref="AT40:AT49">IF(Y40="","",Y40/AS40*100)</f>
        <v>51.5</v>
      </c>
      <c r="AU40" s="28">
        <f aca="true" t="shared" si="36" ref="AU40:AU49">IF(AC40="","",((AC40+AD40)/AS40*100))</f>
      </c>
      <c r="AV40" s="28">
        <f aca="true" t="shared" si="37" ref="AV40:AV49">IF(AT40="","",SUM(AT40:AU40))</f>
        <v>51.5</v>
      </c>
      <c r="AW40" s="24">
        <f aca="true" t="shared" si="38" ref="AW40:AW49">IF(AT40="","",Z40-AT40)</f>
        <v>-1.5</v>
      </c>
      <c r="AX40" s="24">
        <f aca="true" t="shared" si="39" ref="AX40:AX49">IF(AU40="","",(AE40+AF40)-AU40)</f>
      </c>
      <c r="AY40" s="24">
        <f aca="true" t="shared" si="40" ref="AY40:AY49">IF(AH40&gt;0,AI40-AV40,"New")</f>
        <v>-1.5</v>
      </c>
      <c r="AZ40" s="156">
        <f aca="true" t="shared" si="41" ref="AZ40:AZ49">F40</f>
        <v>52272</v>
      </c>
      <c r="BA40" s="35">
        <f aca="true" t="shared" si="42" ref="BA40:BA49">IF($F40&gt;0,($F40/$AO40),IF($G40&gt;0,(((43560/($G40/12))*$H40)/$AO40),0))</f>
        <v>0.209088</v>
      </c>
      <c r="BB40" s="35">
        <f aca="true" t="shared" si="43" ref="BB40:BB49">Z40/(1/BA40)</f>
        <v>10.4544</v>
      </c>
      <c r="BC40" s="36">
        <f aca="true" t="shared" si="44" ref="BC40:BC49">((AE40+AF40)/(1/BA40))</f>
        <v>0</v>
      </c>
      <c r="BD40" s="36">
        <f aca="true" t="shared" si="45" ref="BD40:BD49">BB40+BC40</f>
        <v>10.4544</v>
      </c>
      <c r="BE40" s="36" t="str">
        <f aca="true" t="shared" si="46" ref="BE40:BE49">IF(BD40=K40,"yes","no")</f>
        <v>yes</v>
      </c>
      <c r="BF40" s="37">
        <f aca="true" t="shared" si="47" ref="BF40:BF49">IF(AM40="","",IF($F40&gt;0,($F40/AM40),IF($G40&gt;0,((((43560/($G40/12))*$H40)/$AM40)),0)))</f>
        <v>0.20299805825242717</v>
      </c>
      <c r="BG40" s="37">
        <f aca="true" t="shared" si="48" ref="BG40:BG49">IF(Y40="","",Y40/(1/BF40))</f>
        <v>10.149902912621359</v>
      </c>
      <c r="BH40" s="36">
        <f aca="true" t="shared" si="49" ref="BH40:BH49">((AC40+AD40)/(1/BF40))</f>
        <v>0</v>
      </c>
      <c r="BI40" s="38">
        <f aca="true" t="shared" si="50" ref="BI40:BI49">SUM(BG40:BH40)</f>
        <v>10.149902912621359</v>
      </c>
      <c r="BJ40" s="1" t="str">
        <f aca="true" t="shared" si="51" ref="BJ40:BJ49">IF(J40=BI40,"yes","no")</f>
        <v>yes</v>
      </c>
      <c r="BK40" s="37">
        <f aca="true" t="shared" si="52" ref="BK40:BK49">IF(BG40="","",IF(BG40=0,"",BB40-BG40))</f>
        <v>0.3044970873786408</v>
      </c>
      <c r="BL40" s="37">
        <f aca="true" t="shared" si="53" ref="BL40:BL49">IF(BH40="","",IF(BH40=0,"",BC40-BH40))</f>
      </c>
      <c r="BM40" s="7">
        <f aca="true" t="shared" si="54" ref="BM40:BM49">IF(BK40="","",BD40-BI40)</f>
        <v>0.3044970873786408</v>
      </c>
      <c r="BN40" s="7">
        <f aca="true" t="shared" si="55" ref="BN40:BN49">R40-BM40</f>
        <v>0</v>
      </c>
    </row>
    <row r="41" spans="4:66" ht="18.75" customHeight="1">
      <c r="D41" s="157" t="s">
        <v>191</v>
      </c>
      <c r="E41" s="158" t="s">
        <v>230</v>
      </c>
      <c r="F41" s="79">
        <f t="shared" si="14"/>
        <v>52272</v>
      </c>
      <c r="G41" s="80">
        <f t="shared" si="15"/>
        <v>40</v>
      </c>
      <c r="H41" s="149">
        <f t="shared" si="16"/>
        <v>4</v>
      </c>
      <c r="I41" s="150">
        <f t="shared" si="17"/>
      </c>
      <c r="J41" s="83">
        <f t="shared" si="18"/>
        <v>14.204347826086957</v>
      </c>
      <c r="K41" s="84">
        <f t="shared" si="19"/>
        <v>14.051612903225807</v>
      </c>
      <c r="L41" s="151">
        <f t="shared" si="20"/>
        <v>14.204347826086957</v>
      </c>
      <c r="M41" s="152">
        <f t="shared" si="21"/>
        <v>14.051612903225807</v>
      </c>
      <c r="N41" s="188">
        <f t="shared" si="22"/>
        <v>-0.010752688172043001</v>
      </c>
      <c r="O41" s="153">
        <f t="shared" si="23"/>
        <v>0</v>
      </c>
      <c r="P41" s="154">
        <f t="shared" si="24"/>
        <v>0</v>
      </c>
      <c r="Q41" s="176">
        <f t="shared" si="25"/>
      </c>
      <c r="R41" s="100">
        <f t="shared" si="26"/>
        <v>-0.15273492286114987</v>
      </c>
      <c r="S41" s="184">
        <f t="shared" si="27"/>
        <v>-0.010752688172042996</v>
      </c>
      <c r="U41" s="208" t="s">
        <v>96</v>
      </c>
      <c r="V41" s="4" t="s">
        <v>12</v>
      </c>
      <c r="X41" s="155"/>
      <c r="Y41" s="155">
        <v>62.5</v>
      </c>
      <c r="Z41" s="155">
        <v>62.5</v>
      </c>
      <c r="AA41" s="155"/>
      <c r="AB41" s="155"/>
      <c r="AC41" s="155"/>
      <c r="AD41" s="155"/>
      <c r="AE41" s="155"/>
      <c r="AF41" s="155"/>
      <c r="AG41" s="32">
        <f t="shared" si="28"/>
        <v>0</v>
      </c>
      <c r="AH41" s="32">
        <f t="shared" si="29"/>
        <v>62.5</v>
      </c>
      <c r="AI41" s="32">
        <f t="shared" si="30"/>
        <v>62.5</v>
      </c>
      <c r="AJ41" s="33"/>
      <c r="AK41" s="204"/>
      <c r="AL41" s="33">
        <v>4600</v>
      </c>
      <c r="AM41" s="204">
        <v>230000</v>
      </c>
      <c r="AN41" s="33"/>
      <c r="AO41" s="204">
        <v>232500</v>
      </c>
      <c r="AP41" s="67">
        <f t="shared" si="31"/>
        <v>0</v>
      </c>
      <c r="AQ41" s="34" t="str">
        <f t="shared" si="32"/>
        <v>Not Avail.</v>
      </c>
      <c r="AR41" s="67">
        <f t="shared" si="33"/>
        <v>230000</v>
      </c>
      <c r="AS41" s="34">
        <f t="shared" si="34"/>
        <v>101.08695652173914</v>
      </c>
      <c r="AT41" s="28">
        <f t="shared" si="35"/>
        <v>61.8279569892473</v>
      </c>
      <c r="AU41" s="28">
        <f t="shared" si="36"/>
      </c>
      <c r="AV41" s="28">
        <f t="shared" si="37"/>
        <v>61.8279569892473</v>
      </c>
      <c r="AW41" s="24">
        <f t="shared" si="38"/>
        <v>0.6720430107527022</v>
      </c>
      <c r="AX41" s="24">
        <f t="shared" si="39"/>
      </c>
      <c r="AY41" s="24">
        <f t="shared" si="40"/>
        <v>0.6720430107527022</v>
      </c>
      <c r="AZ41" s="156">
        <f t="shared" si="41"/>
        <v>52272</v>
      </c>
      <c r="BA41" s="35">
        <f t="shared" si="42"/>
        <v>0.2248258064516129</v>
      </c>
      <c r="BB41" s="35">
        <f t="shared" si="43"/>
        <v>14.051612903225807</v>
      </c>
      <c r="BC41" s="36">
        <f t="shared" si="44"/>
        <v>0</v>
      </c>
      <c r="BD41" s="36">
        <f t="shared" si="45"/>
        <v>14.051612903225807</v>
      </c>
      <c r="BE41" s="36" t="str">
        <f t="shared" si="46"/>
        <v>yes</v>
      </c>
      <c r="BF41" s="37">
        <f t="shared" si="47"/>
        <v>0.2272695652173913</v>
      </c>
      <c r="BG41" s="37">
        <f t="shared" si="48"/>
        <v>14.204347826086957</v>
      </c>
      <c r="BH41" s="36">
        <f t="shared" si="49"/>
        <v>0</v>
      </c>
      <c r="BI41" s="38">
        <f t="shared" si="50"/>
        <v>14.204347826086957</v>
      </c>
      <c r="BJ41" s="1" t="str">
        <f t="shared" si="51"/>
        <v>yes</v>
      </c>
      <c r="BK41" s="37">
        <f t="shared" si="52"/>
        <v>-0.15273492286114987</v>
      </c>
      <c r="BL41" s="37">
        <f t="shared" si="53"/>
      </c>
      <c r="BM41" s="7">
        <f t="shared" si="54"/>
        <v>-0.15273492286114987</v>
      </c>
      <c r="BN41" s="7">
        <f t="shared" si="55"/>
        <v>0</v>
      </c>
    </row>
    <row r="42" spans="2:66" ht="18.75" customHeight="1">
      <c r="B42" s="4" t="s">
        <v>13</v>
      </c>
      <c r="C42" s="4" t="s">
        <v>96</v>
      </c>
      <c r="D42" s="157" t="s">
        <v>191</v>
      </c>
      <c r="E42" s="158" t="s">
        <v>181</v>
      </c>
      <c r="F42" s="79">
        <f t="shared" si="14"/>
        <v>52272</v>
      </c>
      <c r="G42" s="80">
        <f t="shared" si="15"/>
        <v>40</v>
      </c>
      <c r="H42" s="149">
        <f t="shared" si="16"/>
        <v>4</v>
      </c>
      <c r="I42" s="150">
        <f t="shared" si="17"/>
        <v>9.92506329113924</v>
      </c>
      <c r="J42" s="83">
        <f t="shared" si="18"/>
        <v>9.92506329113924</v>
      </c>
      <c r="K42" s="84">
        <f t="shared" si="19"/>
        <v>9.92506329113924</v>
      </c>
      <c r="L42" s="151">
        <f t="shared" si="20"/>
        <v>9.92506329113924</v>
      </c>
      <c r="M42" s="152">
        <f t="shared" si="21"/>
        <v>9.92506329113924</v>
      </c>
      <c r="N42" s="188">
        <f t="shared" si="22"/>
        <v>0</v>
      </c>
      <c r="O42" s="153">
        <f t="shared" si="23"/>
        <v>0</v>
      </c>
      <c r="P42" s="154">
        <f t="shared" si="24"/>
        <v>0</v>
      </c>
      <c r="Q42" s="176">
        <f t="shared" si="25"/>
      </c>
      <c r="R42" s="100">
        <f t="shared" si="26"/>
        <v>0</v>
      </c>
      <c r="S42" s="184">
        <f t="shared" si="27"/>
        <v>0</v>
      </c>
      <c r="U42" s="208" t="s">
        <v>96</v>
      </c>
      <c r="V42" s="4" t="s">
        <v>13</v>
      </c>
      <c r="X42" s="155">
        <v>45</v>
      </c>
      <c r="Y42" s="155">
        <v>45</v>
      </c>
      <c r="Z42" s="155">
        <v>45</v>
      </c>
      <c r="AA42" s="155"/>
      <c r="AB42" s="155"/>
      <c r="AC42" s="155"/>
      <c r="AD42" s="155"/>
      <c r="AE42" s="155"/>
      <c r="AF42" s="155"/>
      <c r="AG42" s="32">
        <f t="shared" si="28"/>
        <v>45</v>
      </c>
      <c r="AH42" s="32">
        <f t="shared" si="29"/>
        <v>45</v>
      </c>
      <c r="AI42" s="32">
        <f t="shared" si="30"/>
        <v>45</v>
      </c>
      <c r="AJ42" s="33"/>
      <c r="AK42" s="204">
        <v>237000</v>
      </c>
      <c r="AL42" s="33"/>
      <c r="AM42" s="204">
        <v>237000</v>
      </c>
      <c r="AN42" s="33"/>
      <c r="AO42" s="204">
        <v>237000</v>
      </c>
      <c r="AP42" s="67">
        <f t="shared" si="31"/>
        <v>237000</v>
      </c>
      <c r="AQ42" s="34">
        <f t="shared" si="32"/>
        <v>100</v>
      </c>
      <c r="AR42" s="67">
        <f t="shared" si="33"/>
        <v>237000</v>
      </c>
      <c r="AS42" s="34">
        <f t="shared" si="34"/>
        <v>100</v>
      </c>
      <c r="AT42" s="28">
        <f t="shared" si="35"/>
        <v>45</v>
      </c>
      <c r="AU42" s="28">
        <f t="shared" si="36"/>
      </c>
      <c r="AV42" s="28">
        <f t="shared" si="37"/>
        <v>45</v>
      </c>
      <c r="AW42" s="24">
        <f t="shared" si="38"/>
        <v>0</v>
      </c>
      <c r="AX42" s="24">
        <f t="shared" si="39"/>
      </c>
      <c r="AY42" s="24">
        <f t="shared" si="40"/>
        <v>0</v>
      </c>
      <c r="AZ42" s="156">
        <f t="shared" si="41"/>
        <v>52272</v>
      </c>
      <c r="BA42" s="35">
        <f t="shared" si="42"/>
        <v>0.22055696202531647</v>
      </c>
      <c r="BB42" s="35">
        <f t="shared" si="43"/>
        <v>9.92506329113924</v>
      </c>
      <c r="BC42" s="36">
        <f t="shared" si="44"/>
        <v>0</v>
      </c>
      <c r="BD42" s="36">
        <f t="shared" si="45"/>
        <v>9.92506329113924</v>
      </c>
      <c r="BE42" s="36" t="str">
        <f t="shared" si="46"/>
        <v>yes</v>
      </c>
      <c r="BF42" s="37">
        <f t="shared" si="47"/>
        <v>0.22055696202531647</v>
      </c>
      <c r="BG42" s="37">
        <f t="shared" si="48"/>
        <v>9.92506329113924</v>
      </c>
      <c r="BH42" s="36">
        <f t="shared" si="49"/>
        <v>0</v>
      </c>
      <c r="BI42" s="38">
        <f t="shared" si="50"/>
        <v>9.92506329113924</v>
      </c>
      <c r="BJ42" s="1" t="str">
        <f t="shared" si="51"/>
        <v>yes</v>
      </c>
      <c r="BK42" s="37">
        <f t="shared" si="52"/>
        <v>0</v>
      </c>
      <c r="BL42" s="37">
        <f t="shared" si="53"/>
      </c>
      <c r="BM42" s="7">
        <f t="shared" si="54"/>
        <v>0</v>
      </c>
      <c r="BN42" s="7">
        <f t="shared" si="55"/>
        <v>0</v>
      </c>
    </row>
    <row r="43" spans="2:66" ht="18.75" customHeight="1">
      <c r="B43" s="4" t="s">
        <v>13</v>
      </c>
      <c r="C43" s="29" t="s">
        <v>96</v>
      </c>
      <c r="D43" s="157" t="s">
        <v>191</v>
      </c>
      <c r="E43" s="158" t="s">
        <v>182</v>
      </c>
      <c r="F43" s="79">
        <f t="shared" si="14"/>
        <v>52272</v>
      </c>
      <c r="G43" s="80">
        <f t="shared" si="15"/>
        <v>40</v>
      </c>
      <c r="H43" s="149">
        <f t="shared" si="16"/>
        <v>4</v>
      </c>
      <c r="I43" s="150">
        <f t="shared" si="17"/>
        <v>10.227130434782609</v>
      </c>
      <c r="J43" s="83">
        <f t="shared" si="18"/>
        <v>7.954434782608696</v>
      </c>
      <c r="K43" s="84">
        <f t="shared" si="19"/>
        <v>10.227130434782609</v>
      </c>
      <c r="L43" s="151">
        <f t="shared" si="20"/>
        <v>7.954434782608696</v>
      </c>
      <c r="M43" s="152">
        <f t="shared" si="21"/>
        <v>10.227130434782609</v>
      </c>
      <c r="N43" s="188">
        <f t="shared" si="22"/>
        <v>0.2857142857142856</v>
      </c>
      <c r="O43" s="153">
        <f t="shared" si="23"/>
        <v>0</v>
      </c>
      <c r="P43" s="154">
        <f t="shared" si="24"/>
        <v>0</v>
      </c>
      <c r="Q43" s="176">
        <f t="shared" si="25"/>
      </c>
      <c r="R43" s="100">
        <f t="shared" si="26"/>
        <v>2.272695652173913</v>
      </c>
      <c r="S43" s="184">
        <f t="shared" si="27"/>
        <v>0.28571428571428564</v>
      </c>
      <c r="U43" s="207" t="s">
        <v>96</v>
      </c>
      <c r="V43" s="4" t="s">
        <v>13</v>
      </c>
      <c r="X43" s="155">
        <v>45</v>
      </c>
      <c r="Y43" s="155">
        <v>35</v>
      </c>
      <c r="Z43" s="155">
        <v>45</v>
      </c>
      <c r="AA43" s="155"/>
      <c r="AB43" s="155"/>
      <c r="AC43" s="155"/>
      <c r="AD43" s="155"/>
      <c r="AE43" s="155"/>
      <c r="AF43" s="155"/>
      <c r="AG43" s="32">
        <f t="shared" si="28"/>
        <v>45</v>
      </c>
      <c r="AH43" s="32">
        <f t="shared" si="29"/>
        <v>35</v>
      </c>
      <c r="AI43" s="32">
        <f t="shared" si="30"/>
        <v>45</v>
      </c>
      <c r="AJ43" s="23"/>
      <c r="AK43" s="204">
        <v>230000</v>
      </c>
      <c r="AL43" s="23"/>
      <c r="AM43" s="204">
        <v>230000</v>
      </c>
      <c r="AN43" s="23"/>
      <c r="AO43" s="204">
        <v>230000</v>
      </c>
      <c r="AP43" s="67">
        <f t="shared" si="31"/>
        <v>230000</v>
      </c>
      <c r="AQ43" s="34">
        <f t="shared" si="32"/>
        <v>100</v>
      </c>
      <c r="AR43" s="67">
        <f t="shared" si="33"/>
        <v>230000</v>
      </c>
      <c r="AS43" s="34">
        <f t="shared" si="34"/>
        <v>100</v>
      </c>
      <c r="AT43" s="28">
        <f t="shared" si="35"/>
        <v>35</v>
      </c>
      <c r="AU43" s="28">
        <f t="shared" si="36"/>
      </c>
      <c r="AV43" s="28">
        <f t="shared" si="37"/>
        <v>35</v>
      </c>
      <c r="AW43" s="24">
        <f t="shared" si="38"/>
        <v>10</v>
      </c>
      <c r="AX43" s="24">
        <f t="shared" si="39"/>
      </c>
      <c r="AY43" s="24">
        <f t="shared" si="40"/>
        <v>10</v>
      </c>
      <c r="AZ43" s="156">
        <f t="shared" si="41"/>
        <v>52272</v>
      </c>
      <c r="BA43" s="35">
        <f t="shared" si="42"/>
        <v>0.2272695652173913</v>
      </c>
      <c r="BB43" s="35">
        <f t="shared" si="43"/>
        <v>10.227130434782609</v>
      </c>
      <c r="BC43" s="36">
        <f t="shared" si="44"/>
        <v>0</v>
      </c>
      <c r="BD43" s="36">
        <f t="shared" si="45"/>
        <v>10.227130434782609</v>
      </c>
      <c r="BE43" s="36" t="str">
        <f t="shared" si="46"/>
        <v>yes</v>
      </c>
      <c r="BF43" s="37">
        <f t="shared" si="47"/>
        <v>0.2272695652173913</v>
      </c>
      <c r="BG43" s="37">
        <f t="shared" si="48"/>
        <v>7.954434782608696</v>
      </c>
      <c r="BH43" s="36">
        <f t="shared" si="49"/>
        <v>0</v>
      </c>
      <c r="BI43" s="38">
        <f t="shared" si="50"/>
        <v>7.954434782608696</v>
      </c>
      <c r="BJ43" s="1" t="str">
        <f t="shared" si="51"/>
        <v>yes</v>
      </c>
      <c r="BK43" s="37">
        <f t="shared" si="52"/>
        <v>2.272695652173913</v>
      </c>
      <c r="BL43" s="37">
        <f t="shared" si="53"/>
      </c>
      <c r="BM43" s="7">
        <f t="shared" si="54"/>
        <v>2.272695652173913</v>
      </c>
      <c r="BN43" s="7">
        <f t="shared" si="55"/>
        <v>0</v>
      </c>
    </row>
    <row r="44" spans="4:66" ht="18.75" customHeight="1">
      <c r="D44" s="157" t="s">
        <v>191</v>
      </c>
      <c r="E44" s="158" t="s">
        <v>231</v>
      </c>
      <c r="F44" s="79">
        <f t="shared" si="14"/>
        <v>52272</v>
      </c>
      <c r="G44" s="80">
        <f t="shared" si="15"/>
        <v>40</v>
      </c>
      <c r="H44" s="149">
        <f t="shared" si="16"/>
        <v>4</v>
      </c>
      <c r="I44" s="150">
        <f t="shared" si="17"/>
      </c>
      <c r="J44" s="83">
        <f t="shared" si="18"/>
        <v>13.612499999999999</v>
      </c>
      <c r="K44" s="84">
        <f t="shared" si="19"/>
        <v>13.068</v>
      </c>
      <c r="L44" s="151">
        <f t="shared" si="20"/>
        <v>13.612499999999999</v>
      </c>
      <c r="M44" s="152">
        <f t="shared" si="21"/>
        <v>13.068</v>
      </c>
      <c r="N44" s="188">
        <f t="shared" si="22"/>
        <v>-0.039999999999999925</v>
      </c>
      <c r="O44" s="153">
        <f t="shared" si="23"/>
        <v>0</v>
      </c>
      <c r="P44" s="154">
        <f t="shared" si="24"/>
        <v>0</v>
      </c>
      <c r="Q44" s="176">
        <f t="shared" si="25"/>
      </c>
      <c r="R44" s="100">
        <f t="shared" si="26"/>
        <v>-0.5444999999999993</v>
      </c>
      <c r="S44" s="184">
        <f t="shared" si="27"/>
        <v>-0.03999999999999995</v>
      </c>
      <c r="U44" s="208" t="s">
        <v>96</v>
      </c>
      <c r="V44" s="4" t="s">
        <v>12</v>
      </c>
      <c r="X44" s="155"/>
      <c r="Y44" s="155">
        <v>62.5</v>
      </c>
      <c r="Z44" s="155">
        <v>62.5</v>
      </c>
      <c r="AA44" s="155"/>
      <c r="AB44" s="155"/>
      <c r="AC44" s="155"/>
      <c r="AD44" s="155"/>
      <c r="AE44" s="155"/>
      <c r="AF44" s="155"/>
      <c r="AG44" s="32">
        <f t="shared" si="28"/>
        <v>0</v>
      </c>
      <c r="AH44" s="32">
        <f t="shared" si="29"/>
        <v>62.5</v>
      </c>
      <c r="AI44" s="32">
        <f t="shared" si="30"/>
        <v>62.5</v>
      </c>
      <c r="AJ44" s="33"/>
      <c r="AK44" s="204"/>
      <c r="AL44" s="33">
        <v>4800</v>
      </c>
      <c r="AM44" s="204">
        <v>240000</v>
      </c>
      <c r="AN44" s="33"/>
      <c r="AO44" s="204">
        <v>250000</v>
      </c>
      <c r="AP44" s="67">
        <f t="shared" si="31"/>
        <v>0</v>
      </c>
      <c r="AQ44" s="34" t="str">
        <f t="shared" si="32"/>
        <v>Not Avail.</v>
      </c>
      <c r="AR44" s="67">
        <f t="shared" si="33"/>
        <v>240000</v>
      </c>
      <c r="AS44" s="34">
        <f t="shared" si="34"/>
        <v>104.16666666666667</v>
      </c>
      <c r="AT44" s="28">
        <f t="shared" si="35"/>
        <v>60</v>
      </c>
      <c r="AU44" s="28">
        <f t="shared" si="36"/>
      </c>
      <c r="AV44" s="28">
        <f t="shared" si="37"/>
        <v>60</v>
      </c>
      <c r="AW44" s="24">
        <f t="shared" si="38"/>
        <v>2.5</v>
      </c>
      <c r="AX44" s="24">
        <f t="shared" si="39"/>
      </c>
      <c r="AY44" s="24">
        <f t="shared" si="40"/>
        <v>2.5</v>
      </c>
      <c r="AZ44" s="156">
        <f t="shared" si="41"/>
        <v>52272</v>
      </c>
      <c r="BA44" s="35">
        <f t="shared" si="42"/>
        <v>0.209088</v>
      </c>
      <c r="BB44" s="35">
        <f t="shared" si="43"/>
        <v>13.068</v>
      </c>
      <c r="BC44" s="36">
        <f t="shared" si="44"/>
        <v>0</v>
      </c>
      <c r="BD44" s="36">
        <f t="shared" si="45"/>
        <v>13.068</v>
      </c>
      <c r="BE44" s="36" t="str">
        <f t="shared" si="46"/>
        <v>yes</v>
      </c>
      <c r="BF44" s="37">
        <f t="shared" si="47"/>
        <v>0.2178</v>
      </c>
      <c r="BG44" s="37">
        <f t="shared" si="48"/>
        <v>13.612499999999999</v>
      </c>
      <c r="BH44" s="36">
        <f t="shared" si="49"/>
        <v>0</v>
      </c>
      <c r="BI44" s="38">
        <f t="shared" si="50"/>
        <v>13.612499999999999</v>
      </c>
      <c r="BJ44" s="1" t="str">
        <f t="shared" si="51"/>
        <v>yes</v>
      </c>
      <c r="BK44" s="37">
        <f t="shared" si="52"/>
        <v>-0.5444999999999993</v>
      </c>
      <c r="BL44" s="37">
        <f t="shared" si="53"/>
      </c>
      <c r="BM44" s="7">
        <f t="shared" si="54"/>
        <v>-0.5444999999999993</v>
      </c>
      <c r="BN44" s="7">
        <f t="shared" si="55"/>
        <v>0</v>
      </c>
    </row>
    <row r="45" spans="4:66" ht="18.75" customHeight="1">
      <c r="D45" s="157" t="s">
        <v>191</v>
      </c>
      <c r="E45" s="158" t="s">
        <v>232</v>
      </c>
      <c r="F45" s="79">
        <f t="shared" si="14"/>
        <v>52272</v>
      </c>
      <c r="G45" s="80">
        <f t="shared" si="15"/>
        <v>40</v>
      </c>
      <c r="H45" s="149">
        <f t="shared" si="16"/>
        <v>4</v>
      </c>
      <c r="I45" s="150">
        <f t="shared" si="17"/>
      </c>
      <c r="J45" s="83">
        <f t="shared" si="18"/>
        <v>14.520000000000001</v>
      </c>
      <c r="K45" s="84">
        <f t="shared" si="19"/>
        <v>14.066738428417654</v>
      </c>
      <c r="L45" s="151">
        <f t="shared" si="20"/>
        <v>14.520000000000001</v>
      </c>
      <c r="M45" s="152">
        <f t="shared" si="21"/>
        <v>14.066738428417654</v>
      </c>
      <c r="N45" s="188">
        <f t="shared" si="22"/>
        <v>-0.031216361679225035</v>
      </c>
      <c r="O45" s="153">
        <f t="shared" si="23"/>
        <v>0</v>
      </c>
      <c r="P45" s="154">
        <f t="shared" si="24"/>
        <v>0</v>
      </c>
      <c r="Q45" s="176">
        <f t="shared" si="25"/>
      </c>
      <c r="R45" s="100">
        <f t="shared" si="26"/>
        <v>-0.45326157158234714</v>
      </c>
      <c r="S45" s="184">
        <f t="shared" si="27"/>
        <v>-0.031216361679225008</v>
      </c>
      <c r="U45" s="208" t="s">
        <v>96</v>
      </c>
      <c r="V45" s="4" t="s">
        <v>12</v>
      </c>
      <c r="X45" s="155"/>
      <c r="Y45" s="155">
        <v>62.5</v>
      </c>
      <c r="Z45" s="155">
        <v>62.5</v>
      </c>
      <c r="AA45" s="155"/>
      <c r="AB45" s="155"/>
      <c r="AC45" s="155"/>
      <c r="AD45" s="155"/>
      <c r="AE45" s="155"/>
      <c r="AF45" s="155"/>
      <c r="AG45" s="32">
        <f t="shared" si="28"/>
        <v>0</v>
      </c>
      <c r="AH45" s="32">
        <f t="shared" si="29"/>
        <v>62.5</v>
      </c>
      <c r="AI45" s="32">
        <f t="shared" si="30"/>
        <v>62.5</v>
      </c>
      <c r="AJ45" s="33"/>
      <c r="AK45" s="204"/>
      <c r="AL45" s="33">
        <v>4500</v>
      </c>
      <c r="AM45" s="204">
        <v>225000</v>
      </c>
      <c r="AN45" s="33"/>
      <c r="AO45" s="204">
        <v>232250</v>
      </c>
      <c r="AP45" s="67">
        <f t="shared" si="31"/>
        <v>0</v>
      </c>
      <c r="AQ45" s="34" t="str">
        <f t="shared" si="32"/>
        <v>Not Avail.</v>
      </c>
      <c r="AR45" s="67">
        <f t="shared" si="33"/>
        <v>225000</v>
      </c>
      <c r="AS45" s="34">
        <f t="shared" si="34"/>
        <v>103.22222222222221</v>
      </c>
      <c r="AT45" s="28">
        <f t="shared" si="35"/>
        <v>60.54897739504844</v>
      </c>
      <c r="AU45" s="28">
        <f t="shared" si="36"/>
      </c>
      <c r="AV45" s="28">
        <f t="shared" si="37"/>
        <v>60.54897739504844</v>
      </c>
      <c r="AW45" s="24">
        <f t="shared" si="38"/>
        <v>1.9510226049515609</v>
      </c>
      <c r="AX45" s="24">
        <f t="shared" si="39"/>
      </c>
      <c r="AY45" s="24">
        <f t="shared" si="40"/>
        <v>1.9510226049515609</v>
      </c>
      <c r="AZ45" s="156">
        <f t="shared" si="41"/>
        <v>52272</v>
      </c>
      <c r="BA45" s="35">
        <f t="shared" si="42"/>
        <v>0.22506781485468244</v>
      </c>
      <c r="BB45" s="35">
        <f t="shared" si="43"/>
        <v>14.066738428417654</v>
      </c>
      <c r="BC45" s="36">
        <f t="shared" si="44"/>
        <v>0</v>
      </c>
      <c r="BD45" s="36">
        <f t="shared" si="45"/>
        <v>14.066738428417654</v>
      </c>
      <c r="BE45" s="36" t="str">
        <f t="shared" si="46"/>
        <v>yes</v>
      </c>
      <c r="BF45" s="37">
        <f t="shared" si="47"/>
        <v>0.23232</v>
      </c>
      <c r="BG45" s="37">
        <f t="shared" si="48"/>
        <v>14.520000000000001</v>
      </c>
      <c r="BH45" s="36">
        <f t="shared" si="49"/>
        <v>0</v>
      </c>
      <c r="BI45" s="38">
        <f t="shared" si="50"/>
        <v>14.520000000000001</v>
      </c>
      <c r="BJ45" s="1" t="str">
        <f t="shared" si="51"/>
        <v>yes</v>
      </c>
      <c r="BK45" s="37">
        <f t="shared" si="52"/>
        <v>-0.45326157158234714</v>
      </c>
      <c r="BL45" s="37">
        <f t="shared" si="53"/>
      </c>
      <c r="BM45" s="7">
        <f t="shared" si="54"/>
        <v>-0.45326157158234714</v>
      </c>
      <c r="BN45" s="7">
        <f t="shared" si="55"/>
        <v>0</v>
      </c>
    </row>
    <row r="46" spans="2:66" ht="18.75" customHeight="1">
      <c r="B46" s="4" t="s">
        <v>12</v>
      </c>
      <c r="C46" s="4" t="s">
        <v>96</v>
      </c>
      <c r="D46" s="157" t="s">
        <v>191</v>
      </c>
      <c r="E46" s="158" t="s">
        <v>183</v>
      </c>
      <c r="F46" s="79">
        <f t="shared" si="14"/>
        <v>52272</v>
      </c>
      <c r="G46" s="80">
        <f t="shared" si="15"/>
        <v>40</v>
      </c>
      <c r="H46" s="149">
        <f t="shared" si="16"/>
        <v>4</v>
      </c>
      <c r="I46" s="150">
        <f t="shared" si="17"/>
        <v>10.4544</v>
      </c>
      <c r="J46" s="83">
        <f t="shared" si="18"/>
        <v>11.499839999999999</v>
      </c>
      <c r="K46" s="84">
        <f t="shared" si="19"/>
        <v>11.499839999999999</v>
      </c>
      <c r="L46" s="151">
        <f t="shared" si="20"/>
        <v>11.499839999999999</v>
      </c>
      <c r="M46" s="152">
        <f t="shared" si="21"/>
        <v>11.499839999999999</v>
      </c>
      <c r="N46" s="188">
        <f t="shared" si="22"/>
        <v>0</v>
      </c>
      <c r="O46" s="153">
        <f t="shared" si="23"/>
        <v>0</v>
      </c>
      <c r="P46" s="154">
        <f t="shared" si="24"/>
        <v>0</v>
      </c>
      <c r="Q46" s="176">
        <f t="shared" si="25"/>
      </c>
      <c r="R46" s="100">
        <f t="shared" si="26"/>
        <v>0</v>
      </c>
      <c r="S46" s="184">
        <f t="shared" si="27"/>
        <v>0</v>
      </c>
      <c r="U46" s="208" t="s">
        <v>96</v>
      </c>
      <c r="V46" s="4" t="s">
        <v>12</v>
      </c>
      <c r="X46" s="155">
        <v>50</v>
      </c>
      <c r="Y46" s="155">
        <v>55</v>
      </c>
      <c r="Z46" s="155">
        <v>55</v>
      </c>
      <c r="AA46" s="155"/>
      <c r="AB46" s="155"/>
      <c r="AC46" s="155"/>
      <c r="AD46" s="155"/>
      <c r="AE46" s="155"/>
      <c r="AF46" s="155"/>
      <c r="AG46" s="32">
        <f t="shared" si="28"/>
        <v>50</v>
      </c>
      <c r="AH46" s="32">
        <f t="shared" si="29"/>
        <v>55</v>
      </c>
      <c r="AI46" s="32">
        <f t="shared" si="30"/>
        <v>55</v>
      </c>
      <c r="AJ46" s="33"/>
      <c r="AK46" s="204">
        <v>250000</v>
      </c>
      <c r="AL46" s="33"/>
      <c r="AM46" s="204">
        <v>250000</v>
      </c>
      <c r="AN46" s="33"/>
      <c r="AO46" s="204">
        <v>250000</v>
      </c>
      <c r="AP46" s="67">
        <f t="shared" si="31"/>
        <v>250000</v>
      </c>
      <c r="AQ46" s="34">
        <f t="shared" si="32"/>
        <v>100</v>
      </c>
      <c r="AR46" s="67">
        <f t="shared" si="33"/>
        <v>250000</v>
      </c>
      <c r="AS46" s="34">
        <f t="shared" si="34"/>
        <v>100</v>
      </c>
      <c r="AT46" s="28">
        <f t="shared" si="35"/>
        <v>55.00000000000001</v>
      </c>
      <c r="AU46" s="28">
        <f t="shared" si="36"/>
      </c>
      <c r="AV46" s="28">
        <f t="shared" si="37"/>
        <v>55.00000000000001</v>
      </c>
      <c r="AW46" s="24">
        <f t="shared" si="38"/>
        <v>-7.105427357601002E-15</v>
      </c>
      <c r="AX46" s="24">
        <f t="shared" si="39"/>
      </c>
      <c r="AY46" s="24">
        <f t="shared" si="40"/>
        <v>-7.105427357601002E-15</v>
      </c>
      <c r="AZ46" s="156">
        <f t="shared" si="41"/>
        <v>52272</v>
      </c>
      <c r="BA46" s="35">
        <f t="shared" si="42"/>
        <v>0.209088</v>
      </c>
      <c r="BB46" s="35">
        <f t="shared" si="43"/>
        <v>11.499839999999999</v>
      </c>
      <c r="BC46" s="36">
        <f t="shared" si="44"/>
        <v>0</v>
      </c>
      <c r="BD46" s="36">
        <f t="shared" si="45"/>
        <v>11.499839999999999</v>
      </c>
      <c r="BE46" s="36" t="str">
        <f t="shared" si="46"/>
        <v>yes</v>
      </c>
      <c r="BF46" s="37">
        <f t="shared" si="47"/>
        <v>0.209088</v>
      </c>
      <c r="BG46" s="37">
        <f t="shared" si="48"/>
        <v>11.499839999999999</v>
      </c>
      <c r="BH46" s="36">
        <f t="shared" si="49"/>
        <v>0</v>
      </c>
      <c r="BI46" s="38">
        <f t="shared" si="50"/>
        <v>11.499839999999999</v>
      </c>
      <c r="BJ46" s="1" t="str">
        <f t="shared" si="51"/>
        <v>yes</v>
      </c>
      <c r="BK46" s="37">
        <f t="shared" si="52"/>
        <v>0</v>
      </c>
      <c r="BL46" s="37">
        <f t="shared" si="53"/>
      </c>
      <c r="BM46" s="7">
        <f t="shared" si="54"/>
        <v>0</v>
      </c>
      <c r="BN46" s="7">
        <f t="shared" si="55"/>
        <v>0</v>
      </c>
    </row>
    <row r="47" spans="2:66" ht="18.75" customHeight="1">
      <c r="B47" s="4" t="s">
        <v>13</v>
      </c>
      <c r="C47" s="4" t="s">
        <v>96</v>
      </c>
      <c r="D47" s="157" t="s">
        <v>191</v>
      </c>
      <c r="E47" s="158" t="s">
        <v>30</v>
      </c>
      <c r="F47" s="79">
        <f t="shared" si="14"/>
        <v>52272</v>
      </c>
      <c r="G47" s="80">
        <f t="shared" si="15"/>
        <v>40</v>
      </c>
      <c r="H47" s="149">
        <f t="shared" si="16"/>
        <v>4</v>
      </c>
      <c r="I47" s="150">
        <f t="shared" si="17"/>
        <v>10.940651162790697</v>
      </c>
      <c r="J47" s="83">
        <f t="shared" si="18"/>
        <v>10.940651162790699</v>
      </c>
      <c r="K47" s="84">
        <f t="shared" si="19"/>
        <v>10.940651162790699</v>
      </c>
      <c r="L47" s="151">
        <f t="shared" si="20"/>
        <v>10.940651162790699</v>
      </c>
      <c r="M47" s="152">
        <f t="shared" si="21"/>
        <v>10.940651162790699</v>
      </c>
      <c r="N47" s="188">
        <f t="shared" si="22"/>
        <v>0</v>
      </c>
      <c r="O47" s="153">
        <f t="shared" si="23"/>
        <v>0</v>
      </c>
      <c r="P47" s="154">
        <f t="shared" si="24"/>
        <v>0</v>
      </c>
      <c r="Q47" s="176">
        <f t="shared" si="25"/>
      </c>
      <c r="R47" s="100">
        <f t="shared" si="26"/>
        <v>0</v>
      </c>
      <c r="S47" s="184">
        <f t="shared" si="27"/>
        <v>0</v>
      </c>
      <c r="U47" s="208" t="s">
        <v>96</v>
      </c>
      <c r="V47" s="4" t="s">
        <v>13</v>
      </c>
      <c r="X47" s="32">
        <v>45</v>
      </c>
      <c r="Y47" s="32">
        <v>45</v>
      </c>
      <c r="Z47" s="32">
        <v>45</v>
      </c>
      <c r="AA47" s="32"/>
      <c r="AB47" s="32"/>
      <c r="AC47" s="32"/>
      <c r="AD47" s="32"/>
      <c r="AE47" s="32"/>
      <c r="AF47" s="32"/>
      <c r="AG47" s="32">
        <f t="shared" si="28"/>
        <v>45</v>
      </c>
      <c r="AH47" s="32">
        <f t="shared" si="29"/>
        <v>45</v>
      </c>
      <c r="AI47" s="32">
        <f t="shared" si="30"/>
        <v>45</v>
      </c>
      <c r="AJ47" s="33"/>
      <c r="AK47" s="204">
        <v>215000</v>
      </c>
      <c r="AL47" s="33"/>
      <c r="AM47" s="204">
        <v>215000</v>
      </c>
      <c r="AN47" s="33"/>
      <c r="AO47" s="204">
        <v>215000</v>
      </c>
      <c r="AP47" s="67">
        <f t="shared" si="31"/>
        <v>215000</v>
      </c>
      <c r="AQ47" s="34">
        <f t="shared" si="32"/>
        <v>100</v>
      </c>
      <c r="AR47" s="67">
        <f t="shared" si="33"/>
        <v>215000</v>
      </c>
      <c r="AS47" s="34">
        <f t="shared" si="34"/>
        <v>100</v>
      </c>
      <c r="AT47" s="28">
        <f t="shared" si="35"/>
        <v>45</v>
      </c>
      <c r="AU47" s="28">
        <f t="shared" si="36"/>
      </c>
      <c r="AV47" s="28">
        <f t="shared" si="37"/>
        <v>45</v>
      </c>
      <c r="AW47" s="24">
        <f t="shared" si="38"/>
        <v>0</v>
      </c>
      <c r="AX47" s="24">
        <f t="shared" si="39"/>
      </c>
      <c r="AY47" s="24">
        <f t="shared" si="40"/>
        <v>0</v>
      </c>
      <c r="AZ47" s="156">
        <f t="shared" si="41"/>
        <v>52272</v>
      </c>
      <c r="BA47" s="35">
        <f t="shared" si="42"/>
        <v>0.24312558139534884</v>
      </c>
      <c r="BB47" s="35">
        <f t="shared" si="43"/>
        <v>10.940651162790699</v>
      </c>
      <c r="BC47" s="36">
        <f t="shared" si="44"/>
        <v>0</v>
      </c>
      <c r="BD47" s="36">
        <f t="shared" si="45"/>
        <v>10.940651162790699</v>
      </c>
      <c r="BE47" s="36" t="str">
        <f t="shared" si="46"/>
        <v>yes</v>
      </c>
      <c r="BF47" s="37">
        <f t="shared" si="47"/>
        <v>0.24312558139534884</v>
      </c>
      <c r="BG47" s="37">
        <f t="shared" si="48"/>
        <v>10.940651162790699</v>
      </c>
      <c r="BH47" s="36">
        <f t="shared" si="49"/>
        <v>0</v>
      </c>
      <c r="BI47" s="38">
        <f t="shared" si="50"/>
        <v>10.940651162790699</v>
      </c>
      <c r="BJ47" s="1" t="str">
        <f t="shared" si="51"/>
        <v>yes</v>
      </c>
      <c r="BK47" s="37">
        <f t="shared" si="52"/>
        <v>0</v>
      </c>
      <c r="BL47" s="37">
        <f t="shared" si="53"/>
      </c>
      <c r="BM47" s="7">
        <f t="shared" si="54"/>
        <v>0</v>
      </c>
      <c r="BN47" s="7">
        <f t="shared" si="55"/>
        <v>0</v>
      </c>
    </row>
    <row r="48" spans="3:66" ht="18.75" customHeight="1">
      <c r="C48" s="29"/>
      <c r="D48" s="164" t="s">
        <v>190</v>
      </c>
      <c r="E48" s="192" t="s">
        <v>51</v>
      </c>
      <c r="F48" s="79">
        <f t="shared" si="14"/>
        <v>52272</v>
      </c>
      <c r="G48" s="80">
        <f t="shared" si="15"/>
        <v>40</v>
      </c>
      <c r="H48" s="149">
        <f t="shared" si="16"/>
        <v>4</v>
      </c>
      <c r="I48" s="150">
        <f t="shared" si="17"/>
        <v>0</v>
      </c>
      <c r="J48" s="83">
        <f t="shared" si="18"/>
        <v>0</v>
      </c>
      <c r="K48" s="84">
        <f t="shared" si="19"/>
        <v>34.279977599999995</v>
      </c>
      <c r="L48" s="151">
        <f t="shared" si="20"/>
      </c>
      <c r="M48" s="152">
        <f t="shared" si="21"/>
        <v>34.279977599999995</v>
      </c>
      <c r="N48" s="188" t="str">
        <f t="shared" si="22"/>
        <v>New</v>
      </c>
      <c r="O48" s="153">
        <f t="shared" si="23"/>
      </c>
      <c r="P48" s="154">
        <f t="shared" si="24"/>
        <v>0</v>
      </c>
      <c r="Q48" s="176" t="str">
        <f t="shared" si="25"/>
        <v>New</v>
      </c>
      <c r="R48" s="100" t="str">
        <f t="shared" si="26"/>
        <v>New</v>
      </c>
      <c r="S48" s="184">
        <f t="shared" si="27"/>
      </c>
      <c r="U48" s="207" t="s">
        <v>53</v>
      </c>
      <c r="V48" s="4" t="s">
        <v>12</v>
      </c>
      <c r="X48" s="39"/>
      <c r="Y48" s="39"/>
      <c r="Z48" s="155">
        <v>163.95</v>
      </c>
      <c r="AA48" s="161"/>
      <c r="AB48" s="39"/>
      <c r="AC48" s="155"/>
      <c r="AD48" s="39"/>
      <c r="AE48" s="155"/>
      <c r="AF48" s="39"/>
      <c r="AG48" s="32">
        <f t="shared" si="28"/>
        <v>0</v>
      </c>
      <c r="AH48" s="32">
        <f t="shared" si="29"/>
        <v>0</v>
      </c>
      <c r="AI48" s="32">
        <f t="shared" si="30"/>
        <v>163.95</v>
      </c>
      <c r="AJ48" s="33"/>
      <c r="AK48" s="33">
        <v>250000</v>
      </c>
      <c r="AL48" s="33"/>
      <c r="AM48" s="33">
        <v>250000</v>
      </c>
      <c r="AN48" s="33"/>
      <c r="AO48" s="33">
        <v>250000</v>
      </c>
      <c r="AP48" s="67">
        <f t="shared" si="31"/>
        <v>250000</v>
      </c>
      <c r="AQ48" s="34">
        <f t="shared" si="32"/>
        <v>100</v>
      </c>
      <c r="AR48" s="67">
        <f t="shared" si="33"/>
        <v>250000</v>
      </c>
      <c r="AS48" s="34">
        <f t="shared" si="34"/>
        <v>100</v>
      </c>
      <c r="AT48" s="28">
        <f t="shared" si="35"/>
      </c>
      <c r="AU48" s="28">
        <f t="shared" si="36"/>
      </c>
      <c r="AV48" s="28">
        <f t="shared" si="37"/>
      </c>
      <c r="AW48" s="24">
        <f t="shared" si="38"/>
      </c>
      <c r="AX48" s="24">
        <f t="shared" si="39"/>
      </c>
      <c r="AY48" s="24" t="str">
        <f t="shared" si="40"/>
        <v>New</v>
      </c>
      <c r="AZ48" s="156">
        <f t="shared" si="41"/>
        <v>52272</v>
      </c>
      <c r="BA48" s="35">
        <f t="shared" si="42"/>
        <v>0.209088</v>
      </c>
      <c r="BB48" s="35">
        <f t="shared" si="43"/>
        <v>34.279977599999995</v>
      </c>
      <c r="BC48" s="36">
        <f t="shared" si="44"/>
        <v>0</v>
      </c>
      <c r="BD48" s="36">
        <f t="shared" si="45"/>
        <v>34.279977599999995</v>
      </c>
      <c r="BE48" s="36" t="str">
        <f t="shared" si="46"/>
        <v>yes</v>
      </c>
      <c r="BF48" s="37">
        <f t="shared" si="47"/>
        <v>0.209088</v>
      </c>
      <c r="BG48" s="37">
        <f t="shared" si="48"/>
      </c>
      <c r="BH48" s="36">
        <f t="shared" si="49"/>
        <v>0</v>
      </c>
      <c r="BI48" s="38">
        <f t="shared" si="50"/>
        <v>0</v>
      </c>
      <c r="BJ48" s="1" t="str">
        <f t="shared" si="51"/>
        <v>yes</v>
      </c>
      <c r="BK48" s="37">
        <f t="shared" si="52"/>
      </c>
      <c r="BL48" s="37">
        <f t="shared" si="53"/>
      </c>
      <c r="BM48" s="7">
        <f t="shared" si="54"/>
      </c>
      <c r="BN48" s="7" t="e">
        <f t="shared" si="55"/>
        <v>#VALUE!</v>
      </c>
    </row>
    <row r="49" spans="3:66" ht="18.75" customHeight="1">
      <c r="C49" s="29"/>
      <c r="D49" s="164" t="s">
        <v>190</v>
      </c>
      <c r="E49" s="192" t="s">
        <v>52</v>
      </c>
      <c r="F49" s="79">
        <f t="shared" si="14"/>
        <v>52272</v>
      </c>
      <c r="G49" s="80">
        <f t="shared" si="15"/>
        <v>40</v>
      </c>
      <c r="H49" s="149">
        <f t="shared" si="16"/>
        <v>4</v>
      </c>
      <c r="I49" s="150">
        <f t="shared" si="17"/>
        <v>0</v>
      </c>
      <c r="J49" s="83">
        <f t="shared" si="18"/>
        <v>0</v>
      </c>
      <c r="K49" s="84">
        <f t="shared" si="19"/>
        <v>34.279977599999995</v>
      </c>
      <c r="L49" s="151">
        <f t="shared" si="20"/>
      </c>
      <c r="M49" s="152">
        <f t="shared" si="21"/>
        <v>34.279977599999995</v>
      </c>
      <c r="N49" s="188" t="str">
        <f t="shared" si="22"/>
        <v>New</v>
      </c>
      <c r="O49" s="153">
        <f t="shared" si="23"/>
      </c>
      <c r="P49" s="154">
        <f t="shared" si="24"/>
        <v>0</v>
      </c>
      <c r="Q49" s="176" t="str">
        <f t="shared" si="25"/>
        <v>New</v>
      </c>
      <c r="R49" s="100" t="str">
        <f t="shared" si="26"/>
        <v>New</v>
      </c>
      <c r="S49" s="184">
        <f t="shared" si="27"/>
      </c>
      <c r="U49" s="207" t="s">
        <v>53</v>
      </c>
      <c r="V49" s="4" t="s">
        <v>12</v>
      </c>
      <c r="X49" s="39"/>
      <c r="Y49" s="39"/>
      <c r="Z49" s="155">
        <v>163.95</v>
      </c>
      <c r="AA49" s="161"/>
      <c r="AB49" s="39"/>
      <c r="AC49" s="155"/>
      <c r="AD49" s="39"/>
      <c r="AE49" s="155"/>
      <c r="AF49" s="39"/>
      <c r="AG49" s="32">
        <f t="shared" si="28"/>
        <v>0</v>
      </c>
      <c r="AH49" s="32">
        <f t="shared" si="29"/>
        <v>0</v>
      </c>
      <c r="AI49" s="32">
        <f t="shared" si="30"/>
        <v>163.95</v>
      </c>
      <c r="AJ49" s="33"/>
      <c r="AK49" s="33">
        <v>250000</v>
      </c>
      <c r="AL49" s="33"/>
      <c r="AM49" s="33">
        <v>250000</v>
      </c>
      <c r="AN49" s="33"/>
      <c r="AO49" s="33">
        <v>250000</v>
      </c>
      <c r="AP49" s="67">
        <f t="shared" si="31"/>
        <v>250000</v>
      </c>
      <c r="AQ49" s="34">
        <f t="shared" si="32"/>
        <v>100</v>
      </c>
      <c r="AR49" s="67">
        <f t="shared" si="33"/>
        <v>250000</v>
      </c>
      <c r="AS49" s="34">
        <f t="shared" si="34"/>
        <v>100</v>
      </c>
      <c r="AT49" s="28">
        <f t="shared" si="35"/>
      </c>
      <c r="AU49" s="28">
        <f t="shared" si="36"/>
      </c>
      <c r="AV49" s="28">
        <f t="shared" si="37"/>
      </c>
      <c r="AW49" s="24">
        <f t="shared" si="38"/>
      </c>
      <c r="AX49" s="24">
        <f t="shared" si="39"/>
      </c>
      <c r="AY49" s="24" t="str">
        <f t="shared" si="40"/>
        <v>New</v>
      </c>
      <c r="AZ49" s="156">
        <f t="shared" si="41"/>
        <v>52272</v>
      </c>
      <c r="BA49" s="35">
        <f t="shared" si="42"/>
        <v>0.209088</v>
      </c>
      <c r="BB49" s="35">
        <f t="shared" si="43"/>
        <v>34.279977599999995</v>
      </c>
      <c r="BC49" s="36">
        <f t="shared" si="44"/>
        <v>0</v>
      </c>
      <c r="BD49" s="36">
        <f t="shared" si="45"/>
        <v>34.279977599999995</v>
      </c>
      <c r="BE49" s="36" t="str">
        <f t="shared" si="46"/>
        <v>yes</v>
      </c>
      <c r="BF49" s="37">
        <f t="shared" si="47"/>
        <v>0.209088</v>
      </c>
      <c r="BG49" s="37">
        <f t="shared" si="48"/>
      </c>
      <c r="BH49" s="36">
        <f t="shared" si="49"/>
        <v>0</v>
      </c>
      <c r="BI49" s="38">
        <f t="shared" si="50"/>
        <v>0</v>
      </c>
      <c r="BJ49" s="1" t="str">
        <f t="shared" si="51"/>
        <v>yes</v>
      </c>
      <c r="BK49" s="37">
        <f t="shared" si="52"/>
      </c>
      <c r="BL49" s="37">
        <f t="shared" si="53"/>
      </c>
      <c r="BM49" s="7">
        <f t="shared" si="54"/>
      </c>
      <c r="BN49" s="7" t="e">
        <f t="shared" si="55"/>
        <v>#VALUE!</v>
      </c>
    </row>
    <row r="50" spans="3:65" s="4" customFormat="1" ht="13.5" customHeight="1">
      <c r="C50" s="41"/>
      <c r="D50" s="41"/>
      <c r="E50" s="41"/>
      <c r="F50" s="75"/>
      <c r="G50" s="41"/>
      <c r="H50" s="41"/>
      <c r="I50" s="42"/>
      <c r="J50" s="13"/>
      <c r="K50" s="13"/>
      <c r="L50" s="44"/>
      <c r="M50" s="44"/>
      <c r="N50" s="179"/>
      <c r="O50" s="45"/>
      <c r="P50" s="46"/>
      <c r="Q50" s="179"/>
      <c r="R50" s="43"/>
      <c r="S50" s="179"/>
      <c r="T50" s="3"/>
      <c r="U50" s="41"/>
      <c r="W50" s="3"/>
      <c r="X50" s="40"/>
      <c r="Y50" s="40"/>
      <c r="Z50" s="40"/>
      <c r="AA50" s="40"/>
      <c r="AB50" s="40"/>
      <c r="AC50" s="40"/>
      <c r="AD50" s="40"/>
      <c r="AE50" s="40"/>
      <c r="AF50" s="40"/>
      <c r="AG50" s="47"/>
      <c r="AH50" s="47"/>
      <c r="AI50" s="47"/>
      <c r="AJ50" s="12"/>
      <c r="AK50" s="12"/>
      <c r="AL50" s="12"/>
      <c r="AM50" s="12"/>
      <c r="AN50" s="12"/>
      <c r="AO50" s="12"/>
      <c r="AP50" s="65"/>
      <c r="AQ50" s="12"/>
      <c r="AR50" s="65"/>
      <c r="AS50" s="12"/>
      <c r="AT50" s="13"/>
      <c r="AU50" s="13"/>
      <c r="AV50" s="13"/>
      <c r="AW50" s="13"/>
      <c r="AX50" s="13"/>
      <c r="AY50" s="3"/>
      <c r="AZ50" s="3"/>
      <c r="BA50" s="12"/>
      <c r="BB50" s="12"/>
      <c r="BC50" s="12"/>
      <c r="BD50" s="12"/>
      <c r="BE50" s="12"/>
      <c r="BH50" s="12"/>
      <c r="BM50" s="14"/>
    </row>
    <row r="51" spans="4:65" s="4" customFormat="1" ht="13.5" customHeight="1">
      <c r="D51" s="4" t="s">
        <v>9</v>
      </c>
      <c r="F51" s="76"/>
      <c r="G51" s="48"/>
      <c r="H51" s="49"/>
      <c r="I51" s="42"/>
      <c r="J51" s="13"/>
      <c r="K51" s="13"/>
      <c r="L51" s="44"/>
      <c r="M51" s="44"/>
      <c r="N51" s="179"/>
      <c r="O51" s="45"/>
      <c r="P51" s="46"/>
      <c r="Q51" s="178"/>
      <c r="R51" s="43"/>
      <c r="S51" s="179"/>
      <c r="T51" s="3"/>
      <c r="W51" s="3"/>
      <c r="X51" s="12"/>
      <c r="Y51" s="12"/>
      <c r="Z51" s="12"/>
      <c r="AA51" s="12"/>
      <c r="AB51" s="12"/>
      <c r="AC51" s="12"/>
      <c r="AD51" s="12"/>
      <c r="AE51" s="12"/>
      <c r="AF51" s="12"/>
      <c r="AG51" s="13"/>
      <c r="AH51" s="13"/>
      <c r="AI51" s="13"/>
      <c r="AJ51" s="12"/>
      <c r="AK51" s="12"/>
      <c r="AL51" s="12"/>
      <c r="AM51" s="12"/>
      <c r="AN51" s="12"/>
      <c r="AO51" s="12"/>
      <c r="AP51" s="65"/>
      <c r="AQ51" s="12"/>
      <c r="AR51" s="65"/>
      <c r="AS51" s="12"/>
      <c r="AT51" s="13"/>
      <c r="AU51" s="13"/>
      <c r="AV51" s="13"/>
      <c r="AW51" s="13"/>
      <c r="AX51" s="13"/>
      <c r="AY51" s="3"/>
      <c r="AZ51" s="3"/>
      <c r="BA51" s="12"/>
      <c r="BB51" s="12"/>
      <c r="BC51" s="12"/>
      <c r="BD51" s="12"/>
      <c r="BE51" s="12"/>
      <c r="BH51" s="12"/>
      <c r="BM51" s="14"/>
    </row>
    <row r="52" spans="4:65" s="4" customFormat="1" ht="13.5" customHeight="1">
      <c r="D52" s="4" t="s">
        <v>168</v>
      </c>
      <c r="F52" s="76"/>
      <c r="G52" s="48"/>
      <c r="H52" s="49"/>
      <c r="I52" s="42"/>
      <c r="J52" s="13"/>
      <c r="K52" s="13"/>
      <c r="L52" s="44"/>
      <c r="M52" s="44"/>
      <c r="N52" s="179"/>
      <c r="O52" s="45"/>
      <c r="P52" s="46"/>
      <c r="Q52" s="179"/>
      <c r="R52" s="43"/>
      <c r="S52" s="179"/>
      <c r="T52" s="3"/>
      <c r="W52" s="3"/>
      <c r="X52" s="12"/>
      <c r="Y52" s="12"/>
      <c r="Z52" s="12"/>
      <c r="AA52" s="12"/>
      <c r="AB52" s="12"/>
      <c r="AC52" s="12"/>
      <c r="AD52" s="12"/>
      <c r="AE52" s="12"/>
      <c r="AF52" s="12"/>
      <c r="AG52" s="13"/>
      <c r="AH52" s="13"/>
      <c r="AI52" s="13"/>
      <c r="AJ52" s="12"/>
      <c r="AK52" s="12"/>
      <c r="AL52" s="12"/>
      <c r="AM52" s="12"/>
      <c r="AN52" s="12"/>
      <c r="AO52" s="12"/>
      <c r="AP52" s="65"/>
      <c r="AQ52" s="12"/>
      <c r="AR52" s="65"/>
      <c r="AS52" s="12"/>
      <c r="AT52" s="13"/>
      <c r="AU52" s="13"/>
      <c r="AV52" s="13"/>
      <c r="AW52" s="13"/>
      <c r="AX52" s="13"/>
      <c r="AY52" s="3"/>
      <c r="AZ52" s="3"/>
      <c r="BA52" s="12"/>
      <c r="BB52" s="12"/>
      <c r="BC52" s="12"/>
      <c r="BD52" s="12"/>
      <c r="BE52" s="12"/>
      <c r="BH52" s="12"/>
      <c r="BM52" s="14"/>
    </row>
    <row r="53" spans="4:65" s="4" customFormat="1" ht="13.5" customHeight="1">
      <c r="D53" s="4" t="s">
        <v>91</v>
      </c>
      <c r="F53" s="76"/>
      <c r="G53" s="48"/>
      <c r="H53" s="49"/>
      <c r="I53" s="42"/>
      <c r="J53" s="13"/>
      <c r="K53" s="13"/>
      <c r="L53" s="44"/>
      <c r="M53" s="44"/>
      <c r="N53" s="179"/>
      <c r="O53" s="45"/>
      <c r="P53" s="46"/>
      <c r="Q53" s="179"/>
      <c r="R53" s="43"/>
      <c r="S53" s="179"/>
      <c r="T53" s="3"/>
      <c r="W53" s="3"/>
      <c r="X53" s="12"/>
      <c r="Y53" s="12"/>
      <c r="Z53" s="12"/>
      <c r="AA53" s="12"/>
      <c r="AB53" s="12"/>
      <c r="AC53" s="12"/>
      <c r="AD53" s="12"/>
      <c r="AE53" s="12"/>
      <c r="AF53" s="12"/>
      <c r="AG53" s="13"/>
      <c r="AH53" s="13"/>
      <c r="AI53" s="13"/>
      <c r="AJ53" s="12"/>
      <c r="AK53" s="12"/>
      <c r="AL53" s="12"/>
      <c r="AM53" s="12"/>
      <c r="AN53" s="12"/>
      <c r="AO53" s="12"/>
      <c r="AP53" s="65"/>
      <c r="AQ53" s="12"/>
      <c r="AR53" s="65"/>
      <c r="AS53" s="12"/>
      <c r="AT53" s="13"/>
      <c r="AU53" s="13"/>
      <c r="AV53" s="13"/>
      <c r="AW53" s="13"/>
      <c r="AX53" s="13"/>
      <c r="AY53" s="3"/>
      <c r="AZ53" s="3"/>
      <c r="BA53" s="12"/>
      <c r="BB53" s="12"/>
      <c r="BC53" s="12"/>
      <c r="BD53" s="12"/>
      <c r="BE53" s="12"/>
      <c r="BH53" s="12"/>
      <c r="BM53" s="14"/>
    </row>
    <row r="54" spans="4:65" s="4" customFormat="1" ht="13.5" customHeight="1">
      <c r="D54" s="4" t="s">
        <v>113</v>
      </c>
      <c r="F54" s="76"/>
      <c r="G54" s="48"/>
      <c r="H54" s="49"/>
      <c r="I54" s="42"/>
      <c r="J54" s="13"/>
      <c r="K54" s="13"/>
      <c r="L54" s="44"/>
      <c r="M54" s="44"/>
      <c r="N54" s="179"/>
      <c r="O54" s="45"/>
      <c r="P54" s="46"/>
      <c r="Q54" s="179"/>
      <c r="R54" s="43"/>
      <c r="S54" s="179"/>
      <c r="T54" s="3"/>
      <c r="W54" s="3"/>
      <c r="X54" s="12"/>
      <c r="Y54" s="12"/>
      <c r="Z54" s="12"/>
      <c r="AA54" s="12"/>
      <c r="AB54" s="12"/>
      <c r="AC54" s="12"/>
      <c r="AD54" s="12"/>
      <c r="AE54" s="12"/>
      <c r="AF54" s="12"/>
      <c r="AG54" s="13"/>
      <c r="AH54" s="13"/>
      <c r="AI54" s="13"/>
      <c r="AJ54" s="12"/>
      <c r="AK54" s="12"/>
      <c r="AL54" s="12"/>
      <c r="AM54" s="12"/>
      <c r="AN54" s="12"/>
      <c r="AO54" s="12"/>
      <c r="AP54" s="65"/>
      <c r="AQ54" s="12"/>
      <c r="AR54" s="65"/>
      <c r="AS54" s="12"/>
      <c r="AT54" s="13"/>
      <c r="AU54" s="13"/>
      <c r="AV54" s="13"/>
      <c r="AW54" s="13"/>
      <c r="AX54" s="13"/>
      <c r="AY54" s="3"/>
      <c r="AZ54" s="3"/>
      <c r="BA54" s="12"/>
      <c r="BB54" s="12"/>
      <c r="BC54" s="12"/>
      <c r="BD54" s="12"/>
      <c r="BE54" s="12"/>
      <c r="BH54" s="12"/>
      <c r="BM54" s="14"/>
    </row>
    <row r="55" spans="4:65" s="4" customFormat="1" ht="13.5" customHeight="1">
      <c r="D55" s="222" t="s">
        <v>202</v>
      </c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3"/>
      <c r="W55" s="3"/>
      <c r="X55" s="12"/>
      <c r="Y55" s="12"/>
      <c r="Z55" s="12"/>
      <c r="AA55" s="12"/>
      <c r="AB55" s="12"/>
      <c r="AC55" s="12"/>
      <c r="AD55" s="12"/>
      <c r="AE55" s="12"/>
      <c r="AF55" s="12"/>
      <c r="AG55" s="13"/>
      <c r="AH55" s="13"/>
      <c r="AI55" s="13"/>
      <c r="AJ55" s="12"/>
      <c r="AK55" s="12"/>
      <c r="AL55" s="12"/>
      <c r="AM55" s="12"/>
      <c r="AN55" s="12"/>
      <c r="AO55" s="12"/>
      <c r="AP55" s="65"/>
      <c r="AQ55" s="12"/>
      <c r="AR55" s="65"/>
      <c r="AS55" s="12"/>
      <c r="AT55" s="13"/>
      <c r="AU55" s="13"/>
      <c r="AV55" s="13"/>
      <c r="AW55" s="13"/>
      <c r="AX55" s="13"/>
      <c r="AY55" s="3"/>
      <c r="AZ55" s="3"/>
      <c r="BA55" s="12"/>
      <c r="BB55" s="12"/>
      <c r="BC55" s="12"/>
      <c r="BD55" s="12"/>
      <c r="BE55" s="12"/>
      <c r="BH55" s="12"/>
      <c r="BM55" s="14"/>
    </row>
    <row r="56" spans="4:65" s="4" customFormat="1" ht="13.5" customHeight="1"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3"/>
      <c r="W56" s="3"/>
      <c r="X56" s="12"/>
      <c r="Y56" s="12"/>
      <c r="Z56" s="12"/>
      <c r="AA56" s="12"/>
      <c r="AB56" s="12"/>
      <c r="AC56" s="12"/>
      <c r="AD56" s="12"/>
      <c r="AE56" s="12"/>
      <c r="AF56" s="12"/>
      <c r="AG56" s="13"/>
      <c r="AH56" s="13"/>
      <c r="AI56" s="13"/>
      <c r="AJ56" s="12"/>
      <c r="AK56" s="12"/>
      <c r="AL56" s="12"/>
      <c r="AM56" s="12"/>
      <c r="AN56" s="12"/>
      <c r="AO56" s="12"/>
      <c r="AP56" s="65"/>
      <c r="AQ56" s="12"/>
      <c r="AR56" s="65"/>
      <c r="AS56" s="12"/>
      <c r="AT56" s="13"/>
      <c r="AU56" s="13"/>
      <c r="AV56" s="13"/>
      <c r="AW56" s="13"/>
      <c r="AX56" s="13"/>
      <c r="AY56" s="3"/>
      <c r="AZ56" s="3"/>
      <c r="BA56" s="12"/>
      <c r="BB56" s="12"/>
      <c r="BC56" s="12"/>
      <c r="BD56" s="12"/>
      <c r="BE56" s="12"/>
      <c r="BH56" s="12"/>
      <c r="BM56" s="14"/>
    </row>
    <row r="57" spans="6:19" ht="13.5" customHeight="1">
      <c r="F57" s="77"/>
      <c r="H57" s="197"/>
      <c r="N57" s="180"/>
      <c r="Q57" s="180"/>
      <c r="S57" s="180"/>
    </row>
    <row r="58" spans="6:19" ht="13.5" customHeight="1">
      <c r="F58" s="77"/>
      <c r="H58" s="197"/>
      <c r="N58" s="180"/>
      <c r="Q58" s="180"/>
      <c r="S58" s="180"/>
    </row>
    <row r="59" spans="6:19" ht="13.5" customHeight="1">
      <c r="F59" s="77"/>
      <c r="H59" s="197"/>
      <c r="N59" s="180"/>
      <c r="Q59" s="180"/>
      <c r="S59" s="180"/>
    </row>
    <row r="60" spans="6:19" ht="13.5" customHeight="1">
      <c r="F60" s="77"/>
      <c r="H60" s="197"/>
      <c r="N60" s="180"/>
      <c r="Q60" s="180"/>
      <c r="S60" s="180"/>
    </row>
    <row r="61" spans="6:19" ht="13.5" customHeight="1">
      <c r="F61" s="77"/>
      <c r="H61" s="197"/>
      <c r="N61" s="180"/>
      <c r="Q61" s="180"/>
      <c r="S61" s="180"/>
    </row>
    <row r="62" spans="6:19" ht="13.5" customHeight="1">
      <c r="F62" s="77"/>
      <c r="H62" s="197"/>
      <c r="N62" s="180"/>
      <c r="Q62" s="180"/>
      <c r="S62" s="180"/>
    </row>
    <row r="63" spans="6:19" ht="13.5" customHeight="1">
      <c r="F63" s="77"/>
      <c r="H63" s="197"/>
      <c r="N63" s="180"/>
      <c r="Q63" s="180"/>
      <c r="S63" s="180"/>
    </row>
    <row r="64" spans="6:19" ht="13.5" customHeight="1">
      <c r="F64" s="77"/>
      <c r="H64" s="197"/>
      <c r="N64" s="180"/>
      <c r="Q64" s="180"/>
      <c r="S64" s="180"/>
    </row>
    <row r="65" spans="6:19" ht="13.5" customHeight="1">
      <c r="F65" s="77"/>
      <c r="H65" s="197"/>
      <c r="N65" s="180"/>
      <c r="Q65" s="180"/>
      <c r="S65" s="180"/>
    </row>
    <row r="66" spans="6:19" ht="13.5" customHeight="1">
      <c r="F66" s="77"/>
      <c r="H66" s="197"/>
      <c r="N66" s="180"/>
      <c r="Q66" s="180"/>
      <c r="S66" s="180"/>
    </row>
    <row r="67" spans="6:19" ht="13.5" customHeight="1">
      <c r="F67" s="77"/>
      <c r="H67" s="197"/>
      <c r="N67" s="180"/>
      <c r="Q67" s="180"/>
      <c r="S67" s="180"/>
    </row>
    <row r="68" spans="6:19" ht="13.5" customHeight="1">
      <c r="F68" s="77"/>
      <c r="H68" s="197"/>
      <c r="N68" s="180"/>
      <c r="Q68" s="180"/>
      <c r="S68" s="180"/>
    </row>
    <row r="69" spans="6:19" ht="13.5" customHeight="1">
      <c r="F69" s="77"/>
      <c r="H69" s="197"/>
      <c r="N69" s="180"/>
      <c r="Q69" s="180"/>
      <c r="S69" s="180"/>
    </row>
    <row r="70" spans="6:19" ht="13.5" customHeight="1">
      <c r="F70" s="77"/>
      <c r="H70" s="197"/>
      <c r="N70" s="180"/>
      <c r="Q70" s="180"/>
      <c r="S70" s="180"/>
    </row>
    <row r="71" spans="6:19" ht="13.5" customHeight="1">
      <c r="F71" s="77"/>
      <c r="H71" s="197"/>
      <c r="N71" s="180"/>
      <c r="Q71" s="180"/>
      <c r="S71" s="180"/>
    </row>
    <row r="72" spans="6:19" ht="13.5" customHeight="1">
      <c r="F72" s="77"/>
      <c r="H72" s="197"/>
      <c r="N72" s="180"/>
      <c r="Q72" s="180"/>
      <c r="S72" s="180"/>
    </row>
    <row r="73" spans="6:19" ht="13.5" customHeight="1">
      <c r="F73" s="77"/>
      <c r="H73" s="197"/>
      <c r="N73" s="180"/>
      <c r="Q73" s="180"/>
      <c r="S73" s="180"/>
    </row>
    <row r="74" spans="6:19" ht="13.5" customHeight="1">
      <c r="F74" s="77"/>
      <c r="H74" s="197"/>
      <c r="N74" s="180"/>
      <c r="Q74" s="180"/>
      <c r="S74" s="180"/>
    </row>
    <row r="75" spans="6:19" ht="13.5" customHeight="1">
      <c r="F75" s="77"/>
      <c r="H75" s="197"/>
      <c r="N75" s="180"/>
      <c r="Q75" s="180"/>
      <c r="S75" s="180"/>
    </row>
    <row r="76" spans="6:19" ht="13.5" customHeight="1">
      <c r="F76" s="77"/>
      <c r="H76" s="197"/>
      <c r="N76" s="180"/>
      <c r="Q76" s="180"/>
      <c r="S76" s="180"/>
    </row>
    <row r="77" spans="6:19" ht="13.5" customHeight="1">
      <c r="F77" s="77"/>
      <c r="H77" s="197"/>
      <c r="N77" s="180"/>
      <c r="Q77" s="180"/>
      <c r="S77" s="180"/>
    </row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</sheetData>
  <sheetProtection password="ECC8" sheet="1" objects="1" scenarios="1"/>
  <mergeCells count="25">
    <mergeCell ref="D14:E17"/>
    <mergeCell ref="R16:S16"/>
    <mergeCell ref="O14:Q14"/>
    <mergeCell ref="D2:S2"/>
    <mergeCell ref="D6:S6"/>
    <mergeCell ref="D7:S7"/>
    <mergeCell ref="O9:S9"/>
    <mergeCell ref="D11:F11"/>
    <mergeCell ref="O10:Q10"/>
    <mergeCell ref="J11:J12"/>
    <mergeCell ref="D12:F12"/>
    <mergeCell ref="K11:K12"/>
    <mergeCell ref="L11:L12"/>
    <mergeCell ref="M11:M12"/>
    <mergeCell ref="O11:Q11"/>
    <mergeCell ref="O13:Q13"/>
    <mergeCell ref="R37:S37"/>
    <mergeCell ref="AT37:AV37"/>
    <mergeCell ref="AW37:AY37"/>
    <mergeCell ref="J16:K16"/>
    <mergeCell ref="L16:N16"/>
    <mergeCell ref="O16:Q16"/>
    <mergeCell ref="J37:K37"/>
    <mergeCell ref="L37:N37"/>
    <mergeCell ref="O37:Q37"/>
  </mergeCells>
  <dataValidations count="2">
    <dataValidation type="list" allowBlank="1" showInputMessage="1" showErrorMessage="1" sqref="E19 E21:E27">
      <formula1>'     Conventional'!$E$40:$E$168</formula1>
    </dataValidation>
    <dataValidation type="list" allowBlank="1" showInputMessage="1" showErrorMessage="1" prompt="=$E$37:$E$176" sqref="E20">
      <formula1>'     Conventional'!$E$40:$E$168</formula1>
    </dataValidation>
  </dataValidations>
  <hyperlinks>
    <hyperlink ref="O13" r:id="rId1" display="www.plainscotton.org"/>
    <hyperlink ref="L4" r:id="rId2" display="http://www.plainscotton.org"/>
  </hyperlinks>
  <printOptions/>
  <pageMargins left="0.75" right="0.75" top="1" bottom="1" header="0.5" footer="0.5"/>
  <pageSetup fitToHeight="1" fitToWidth="1" orientation="landscape" scale="68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79"/>
  <sheetViews>
    <sheetView zoomScalePageLayoutView="0" workbookViewId="0" topLeftCell="A2">
      <selection activeCell="A3" sqref="A3:IV4"/>
    </sheetView>
  </sheetViews>
  <sheetFormatPr defaultColWidth="11.625" defaultRowHeight="12.75"/>
  <cols>
    <col min="1" max="1" width="1.75390625" style="1" customWidth="1"/>
    <col min="2" max="3" width="11.625" style="4" hidden="1" customWidth="1"/>
    <col min="4" max="4" width="12.75390625" style="1" customWidth="1"/>
    <col min="5" max="5" width="20.375" style="1" customWidth="1"/>
    <col min="6" max="6" width="12.625" style="73" customWidth="1"/>
    <col min="7" max="7" width="11.625" style="15" hidden="1" customWidth="1"/>
    <col min="8" max="8" width="11.625" style="16" hidden="1" customWidth="1"/>
    <col min="9" max="9" width="11.625" style="17" hidden="1" customWidth="1"/>
    <col min="10" max="10" width="11.00390625" style="6" customWidth="1"/>
    <col min="11" max="11" width="10.875" style="6" customWidth="1"/>
    <col min="12" max="12" width="10.375" style="19" customWidth="1"/>
    <col min="13" max="13" width="9.875" style="19" customWidth="1"/>
    <col min="14" max="14" width="9.875" style="172" customWidth="1"/>
    <col min="15" max="15" width="9.75390625" style="20" customWidth="1"/>
    <col min="16" max="16" width="9.75390625" style="21" customWidth="1"/>
    <col min="17" max="17" width="9.75390625" style="172" customWidth="1"/>
    <col min="18" max="18" width="9.75390625" style="18" customWidth="1"/>
    <col min="19" max="19" width="9.75390625" style="172" customWidth="1"/>
    <col min="20" max="20" width="4.375" style="3" customWidth="1"/>
    <col min="21" max="22" width="0" style="4" hidden="1" customWidth="1"/>
    <col min="23" max="23" width="2.25390625" style="3" hidden="1" customWidth="1"/>
    <col min="24" max="27" width="0" style="5" hidden="1" customWidth="1"/>
    <col min="28" max="28" width="15.375" style="5" hidden="1" customWidth="1"/>
    <col min="29" max="29" width="0" style="5" hidden="1" customWidth="1"/>
    <col min="30" max="30" width="15.375" style="5" hidden="1" customWidth="1"/>
    <col min="31" max="31" width="0" style="5" hidden="1" customWidth="1"/>
    <col min="32" max="32" width="15.375" style="5" hidden="1" customWidth="1"/>
    <col min="33" max="35" width="0" style="6" hidden="1" customWidth="1"/>
    <col min="36" max="41" width="10.00390625" style="5" hidden="1" customWidth="1"/>
    <col min="42" max="42" width="0" style="50" hidden="1" customWidth="1"/>
    <col min="43" max="43" width="0" style="5" hidden="1" customWidth="1"/>
    <col min="44" max="44" width="0" style="50" hidden="1" customWidth="1"/>
    <col min="45" max="45" width="0" style="5" hidden="1" customWidth="1"/>
    <col min="46" max="52" width="0" style="6" hidden="1" customWidth="1"/>
    <col min="53" max="57" width="0" style="5" hidden="1" customWidth="1"/>
    <col min="58" max="59" width="0" style="1" hidden="1" customWidth="1"/>
    <col min="60" max="60" width="0" style="5" hidden="1" customWidth="1"/>
    <col min="61" max="64" width="0" style="1" hidden="1" customWidth="1"/>
    <col min="65" max="65" width="0" style="7" hidden="1" customWidth="1"/>
    <col min="66" max="66" width="0" style="1" hidden="1" customWidth="1"/>
    <col min="67" max="16384" width="11.625" style="1" customWidth="1"/>
  </cols>
  <sheetData>
    <row r="1" spans="1:22" ht="10.5" customHeight="1">
      <c r="A1" s="209"/>
      <c r="B1" s="1"/>
      <c r="C1" s="1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1"/>
      <c r="U1" s="1"/>
      <c r="V1" s="1"/>
    </row>
    <row r="2" spans="2:22" ht="30.75" customHeight="1">
      <c r="B2" s="1"/>
      <c r="C2" s="1"/>
      <c r="D2" s="258" t="s">
        <v>144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1"/>
      <c r="U2" s="1"/>
      <c r="V2" s="1"/>
    </row>
    <row r="3" spans="2:22" ht="18" customHeight="1">
      <c r="B3" s="1"/>
      <c r="C3" s="1"/>
      <c r="D3" s="226"/>
      <c r="E3" s="226"/>
      <c r="F3" s="226"/>
      <c r="G3" s="226"/>
      <c r="H3" s="226"/>
      <c r="I3" s="226"/>
      <c r="J3" s="226"/>
      <c r="K3" s="226"/>
      <c r="L3" s="228" t="s">
        <v>244</v>
      </c>
      <c r="M3" s="226"/>
      <c r="N3" s="226"/>
      <c r="O3" s="226"/>
      <c r="P3" s="226"/>
      <c r="Q3" s="226"/>
      <c r="R3" s="226"/>
      <c r="S3" s="226"/>
      <c r="T3" s="1"/>
      <c r="U3" s="1"/>
      <c r="V3" s="1"/>
    </row>
    <row r="4" spans="2:22" ht="18" customHeight="1">
      <c r="B4" s="22"/>
      <c r="C4" s="22"/>
      <c r="D4" s="2"/>
      <c r="E4" s="2"/>
      <c r="F4" s="69"/>
      <c r="G4" s="2"/>
      <c r="H4" s="2"/>
      <c r="I4" s="8"/>
      <c r="J4" s="9"/>
      <c r="K4" s="10"/>
      <c r="L4" s="227" t="s">
        <v>243</v>
      </c>
      <c r="M4" s="1"/>
      <c r="N4" s="171"/>
      <c r="O4" s="1"/>
      <c r="P4" s="1"/>
      <c r="Q4" s="171"/>
      <c r="R4" s="9"/>
      <c r="S4" s="181"/>
      <c r="T4" s="22"/>
      <c r="U4" s="22"/>
      <c r="V4" s="22"/>
    </row>
    <row r="5" spans="2:22" ht="9" customHeight="1" thickBot="1">
      <c r="B5" s="22"/>
      <c r="C5" s="22"/>
      <c r="D5" s="2"/>
      <c r="E5" s="2"/>
      <c r="F5" s="69"/>
      <c r="G5" s="2"/>
      <c r="H5" s="2"/>
      <c r="I5" s="8"/>
      <c r="J5" s="9"/>
      <c r="K5" s="10"/>
      <c r="L5" s="224"/>
      <c r="M5" s="1"/>
      <c r="N5" s="171"/>
      <c r="O5" s="1"/>
      <c r="P5" s="1"/>
      <c r="Q5" s="171"/>
      <c r="R5" s="9"/>
      <c r="S5" s="181"/>
      <c r="T5" s="22"/>
      <c r="U5" s="22"/>
      <c r="V5" s="22"/>
    </row>
    <row r="6" spans="4:65" s="4" customFormat="1" ht="21" customHeight="1" thickTop="1">
      <c r="D6" s="262" t="s">
        <v>166</v>
      </c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4"/>
      <c r="W6" s="11"/>
      <c r="X6" s="12"/>
      <c r="Y6" s="12"/>
      <c r="Z6" s="12"/>
      <c r="AA6" s="12"/>
      <c r="AB6" s="12"/>
      <c r="AC6" s="12"/>
      <c r="AD6" s="12"/>
      <c r="AE6" s="12"/>
      <c r="AF6" s="12"/>
      <c r="AG6" s="13"/>
      <c r="AH6" s="13"/>
      <c r="AI6" s="13"/>
      <c r="AJ6" s="12"/>
      <c r="AK6" s="12"/>
      <c r="AL6" s="12"/>
      <c r="AM6" s="12"/>
      <c r="AN6" s="12"/>
      <c r="AO6" s="12"/>
      <c r="AP6" s="65"/>
      <c r="AQ6" s="12"/>
      <c r="AR6" s="65"/>
      <c r="AS6" s="12"/>
      <c r="AT6" s="13"/>
      <c r="AU6" s="13"/>
      <c r="AV6" s="13"/>
      <c r="AW6" s="13"/>
      <c r="AX6" s="13"/>
      <c r="AY6" s="13"/>
      <c r="AZ6" s="13"/>
      <c r="BA6" s="12"/>
      <c r="BB6" s="12"/>
      <c r="BC6" s="12"/>
      <c r="BD6" s="12"/>
      <c r="BE6" s="12"/>
      <c r="BH6" s="12"/>
      <c r="BM6" s="14"/>
    </row>
    <row r="7" spans="4:65" s="4" customFormat="1" ht="21" customHeight="1" thickBot="1">
      <c r="D7" s="265" t="s">
        <v>58</v>
      </c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7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3"/>
      <c r="AH7" s="13"/>
      <c r="AI7" s="13"/>
      <c r="AJ7" s="12"/>
      <c r="AK7" s="12"/>
      <c r="AL7" s="12"/>
      <c r="AM7" s="12"/>
      <c r="AN7" s="12"/>
      <c r="AO7" s="12"/>
      <c r="AP7" s="65"/>
      <c r="AQ7" s="12"/>
      <c r="AR7" s="65"/>
      <c r="AS7" s="12"/>
      <c r="AT7" s="13"/>
      <c r="AU7" s="13"/>
      <c r="AV7" s="13"/>
      <c r="AW7" s="13"/>
      <c r="AX7" s="13"/>
      <c r="AY7" s="13"/>
      <c r="AZ7" s="13"/>
      <c r="BA7" s="12"/>
      <c r="BB7" s="12"/>
      <c r="BC7" s="12"/>
      <c r="BD7" s="12"/>
      <c r="BE7" s="12"/>
      <c r="BH7" s="12"/>
      <c r="BM7" s="14"/>
    </row>
    <row r="8" spans="1:65" s="4" customFormat="1" ht="9" customHeight="1" thickBot="1">
      <c r="A8" s="1"/>
      <c r="B8" s="22"/>
      <c r="C8" s="22"/>
      <c r="D8" s="50"/>
      <c r="E8" s="51"/>
      <c r="F8" s="70"/>
      <c r="G8" s="36"/>
      <c r="H8" s="36"/>
      <c r="I8" s="21"/>
      <c r="J8" s="19"/>
      <c r="K8" s="20"/>
      <c r="L8" s="3"/>
      <c r="M8" s="1"/>
      <c r="N8" s="171"/>
      <c r="O8" s="1"/>
      <c r="P8" s="1"/>
      <c r="Q8" s="171"/>
      <c r="R8" s="19"/>
      <c r="S8" s="181"/>
      <c r="T8" s="22"/>
      <c r="U8" s="22"/>
      <c r="V8" s="22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3"/>
      <c r="AH8" s="13"/>
      <c r="AI8" s="13"/>
      <c r="AJ8" s="12"/>
      <c r="AK8" s="12"/>
      <c r="AL8" s="12"/>
      <c r="AM8" s="12"/>
      <c r="AN8" s="12"/>
      <c r="AO8" s="12"/>
      <c r="AP8" s="65"/>
      <c r="AQ8" s="12"/>
      <c r="AR8" s="65"/>
      <c r="AS8" s="12"/>
      <c r="AT8" s="13"/>
      <c r="AU8" s="13"/>
      <c r="AV8" s="13"/>
      <c r="AW8" s="13"/>
      <c r="AX8" s="13"/>
      <c r="AY8" s="13"/>
      <c r="AZ8" s="13"/>
      <c r="BA8" s="12"/>
      <c r="BB8" s="12"/>
      <c r="BC8" s="12"/>
      <c r="BD8" s="12"/>
      <c r="BE8" s="12"/>
      <c r="BH8" s="12"/>
      <c r="BM8" s="14"/>
    </row>
    <row r="9" spans="1:65" s="4" customFormat="1" ht="16.5" thickBot="1">
      <c r="A9" s="1"/>
      <c r="B9" s="22"/>
      <c r="C9" s="22"/>
      <c r="D9" s="22"/>
      <c r="E9" s="22"/>
      <c r="F9" s="71"/>
      <c r="G9" s="22"/>
      <c r="H9" s="196"/>
      <c r="I9" s="22"/>
      <c r="J9" s="22"/>
      <c r="K9" s="22"/>
      <c r="L9" s="3"/>
      <c r="M9" s="1"/>
      <c r="N9" s="171"/>
      <c r="O9" s="259" t="s">
        <v>124</v>
      </c>
      <c r="P9" s="260"/>
      <c r="Q9" s="260"/>
      <c r="R9" s="260"/>
      <c r="S9" s="261"/>
      <c r="T9" s="22"/>
      <c r="U9" s="22"/>
      <c r="V9" s="22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3"/>
      <c r="AH9" s="13"/>
      <c r="AI9" s="13"/>
      <c r="AJ9" s="12"/>
      <c r="AK9" s="12"/>
      <c r="AL9" s="12"/>
      <c r="AM9" s="12"/>
      <c r="AN9" s="12"/>
      <c r="AO9" s="12"/>
      <c r="AP9" s="65"/>
      <c r="AQ9" s="12"/>
      <c r="AR9" s="65"/>
      <c r="AS9" s="12"/>
      <c r="AT9" s="13"/>
      <c r="AU9" s="13"/>
      <c r="AV9" s="13"/>
      <c r="AW9" s="13"/>
      <c r="AX9" s="13"/>
      <c r="AY9" s="13"/>
      <c r="AZ9" s="13"/>
      <c r="BA9" s="12"/>
      <c r="BB9" s="12"/>
      <c r="BC9" s="12"/>
      <c r="BD9" s="12"/>
      <c r="BE9" s="12"/>
      <c r="BH9" s="12"/>
      <c r="BM9" s="14"/>
    </row>
    <row r="10" spans="4:19" ht="30.75" customHeight="1" thickBot="1">
      <c r="D10" s="114" t="s">
        <v>59</v>
      </c>
      <c r="E10" s="68"/>
      <c r="F10" s="72"/>
      <c r="J10" s="115" t="s">
        <v>6</v>
      </c>
      <c r="K10" s="115" t="s">
        <v>5</v>
      </c>
      <c r="L10" s="115" t="s">
        <v>26</v>
      </c>
      <c r="M10" s="116" t="s">
        <v>189</v>
      </c>
      <c r="O10" s="268" t="s">
        <v>169</v>
      </c>
      <c r="P10" s="269"/>
      <c r="Q10" s="269"/>
      <c r="R10" s="211"/>
      <c r="S10" s="212"/>
    </row>
    <row r="11" spans="4:19" ht="18.75" customHeight="1">
      <c r="D11" s="250" t="s">
        <v>68</v>
      </c>
      <c r="E11" s="251"/>
      <c r="F11" s="246"/>
      <c r="J11" s="270"/>
      <c r="K11" s="272">
        <v>40</v>
      </c>
      <c r="L11" s="274">
        <v>4</v>
      </c>
      <c r="M11" s="276">
        <f>(43560/($K11/12)*L11)</f>
        <v>52272</v>
      </c>
      <c r="O11" s="254" t="s">
        <v>197</v>
      </c>
      <c r="P11" s="255"/>
      <c r="Q11" s="255"/>
      <c r="R11" s="213"/>
      <c r="S11" s="214"/>
    </row>
    <row r="12" spans="4:71" ht="18" customHeight="1" thickBot="1">
      <c r="D12" s="250" t="s">
        <v>164</v>
      </c>
      <c r="E12" s="251"/>
      <c r="F12" s="246"/>
      <c r="J12" s="271"/>
      <c r="K12" s="273"/>
      <c r="L12" s="275"/>
      <c r="M12" s="277"/>
      <c r="O12" s="215"/>
      <c r="P12" s="216"/>
      <c r="Q12" s="217"/>
      <c r="R12" s="213"/>
      <c r="S12" s="214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66"/>
      <c r="AQ12" s="22"/>
      <c r="AR12" s="66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</row>
    <row r="13" spans="4:71" ht="28.5" customHeight="1" thickBot="1">
      <c r="D13" s="114" t="s">
        <v>60</v>
      </c>
      <c r="E13" s="117"/>
      <c r="F13" s="118"/>
      <c r="G13" s="1"/>
      <c r="H13" s="119"/>
      <c r="I13" s="119"/>
      <c r="J13" s="119"/>
      <c r="K13" s="1"/>
      <c r="L13" s="22"/>
      <c r="M13" s="22"/>
      <c r="N13" s="186"/>
      <c r="O13" s="256" t="s">
        <v>192</v>
      </c>
      <c r="P13" s="257"/>
      <c r="Q13" s="257"/>
      <c r="R13" s="218"/>
      <c r="S13" s="219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66"/>
      <c r="AQ13" s="22"/>
      <c r="AR13" s="66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</row>
    <row r="14" spans="4:71" ht="6" customHeight="1" thickBot="1">
      <c r="D14" s="245" t="s">
        <v>185</v>
      </c>
      <c r="E14" s="246"/>
      <c r="O14" s="252"/>
      <c r="P14" s="253"/>
      <c r="Q14" s="253"/>
      <c r="R14" s="220"/>
      <c r="S14" s="221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66"/>
      <c r="AQ14" s="22"/>
      <c r="AR14" s="66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</row>
    <row r="15" spans="4:71" ht="4.5" customHeight="1" thickBot="1">
      <c r="D15" s="247"/>
      <c r="E15" s="246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66"/>
      <c r="AQ15" s="22"/>
      <c r="AR15" s="66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</row>
    <row r="16" spans="4:71" ht="12.75" customHeight="1">
      <c r="D16" s="247"/>
      <c r="E16" s="246"/>
      <c r="F16" s="120" t="s">
        <v>121</v>
      </c>
      <c r="G16" s="121" t="s">
        <v>125</v>
      </c>
      <c r="H16" s="122" t="s">
        <v>66</v>
      </c>
      <c r="J16" s="229" t="s">
        <v>126</v>
      </c>
      <c r="K16" s="230"/>
      <c r="L16" s="231" t="s">
        <v>4</v>
      </c>
      <c r="M16" s="232"/>
      <c r="N16" s="233"/>
      <c r="O16" s="234" t="s">
        <v>167</v>
      </c>
      <c r="P16" s="235"/>
      <c r="Q16" s="236"/>
      <c r="R16" s="237" t="s">
        <v>0</v>
      </c>
      <c r="S16" s="238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66"/>
      <c r="AQ16" s="22"/>
      <c r="AR16" s="66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</row>
    <row r="17" spans="4:71" ht="18" customHeight="1" thickBot="1">
      <c r="D17" s="248"/>
      <c r="E17" s="249"/>
      <c r="F17" s="123" t="s">
        <v>153</v>
      </c>
      <c r="G17" s="124" t="s">
        <v>154</v>
      </c>
      <c r="H17" s="125" t="s">
        <v>155</v>
      </c>
      <c r="I17" s="52">
        <v>2003</v>
      </c>
      <c r="J17" s="126">
        <f>$Y$38</f>
        <v>2010</v>
      </c>
      <c r="K17" s="127">
        <f>$Z$38</f>
        <v>2011</v>
      </c>
      <c r="L17" s="128">
        <f>$Y$38</f>
        <v>2010</v>
      </c>
      <c r="M17" s="129">
        <f>$Z$38</f>
        <v>2011</v>
      </c>
      <c r="N17" s="187" t="s">
        <v>161</v>
      </c>
      <c r="O17" s="141">
        <f>$Y$38</f>
        <v>2010</v>
      </c>
      <c r="P17" s="142">
        <f>$Z$38</f>
        <v>2011</v>
      </c>
      <c r="Q17" s="173" t="s">
        <v>161</v>
      </c>
      <c r="R17" s="130" t="s">
        <v>156</v>
      </c>
      <c r="S17" s="182" t="s">
        <v>161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 s="22"/>
      <c r="BQ17" s="22"/>
      <c r="BR17" s="22"/>
      <c r="BS17" s="22"/>
    </row>
    <row r="18" spans="4:19" ht="4.5" customHeight="1" thickBot="1">
      <c r="D18" s="53"/>
      <c r="E18" s="54"/>
      <c r="F18" s="74"/>
      <c r="G18" s="55"/>
      <c r="H18" s="56"/>
      <c r="I18" s="57"/>
      <c r="J18" s="58"/>
      <c r="K18" s="59"/>
      <c r="L18" s="60"/>
      <c r="M18" s="61"/>
      <c r="N18" s="174"/>
      <c r="O18" s="62"/>
      <c r="P18" s="63"/>
      <c r="Q18" s="174"/>
      <c r="R18" s="64"/>
      <c r="S18" s="174"/>
    </row>
    <row r="19" spans="4:19" ht="21" customHeight="1" hidden="1">
      <c r="D19" s="78" t="s">
        <v>186</v>
      </c>
      <c r="E19" s="200" t="s">
        <v>129</v>
      </c>
      <c r="F19" s="79">
        <f aca="true" t="shared" si="0" ref="F19:F27">VLOOKUP($E19,$E$40:$Q$51,2)</f>
        <v>52272</v>
      </c>
      <c r="G19" s="80">
        <f aca="true" t="shared" si="1" ref="G19:G27">VLOOKUP($E19,$E$40:$Q$51,3)</f>
        <v>40</v>
      </c>
      <c r="H19" s="81">
        <f aca="true" t="shared" si="2" ref="H19:H27">VLOOKUP($E19,$E$40:$Q$51,4)</f>
        <v>4</v>
      </c>
      <c r="I19" s="82">
        <f aca="true" t="shared" si="3" ref="I19:I27">VLOOKUP($E19,$E$40:$Q$51,5)</f>
        <v>58.596911999999996</v>
      </c>
      <c r="J19" s="83">
        <f aca="true" t="shared" si="4" ref="J19:J27">VLOOKUP($E19,$E$40:$S$51,6)</f>
        <v>55.76472000000001</v>
      </c>
      <c r="K19" s="84">
        <f aca="true" t="shared" si="5" ref="K19:K27">VLOOKUP($E19,$E$40:$S$51,7)</f>
        <v>58.14072</v>
      </c>
      <c r="L19" s="85">
        <f aca="true" t="shared" si="6" ref="L19:L27">VLOOKUP($E19,$E$40:$S$51,8)</f>
        <v>38.253600000000006</v>
      </c>
      <c r="M19" s="86">
        <f aca="true" t="shared" si="7" ref="M19:M27">VLOOKUP($E19,$E$40:$S$51,9)</f>
        <v>40.6296</v>
      </c>
      <c r="N19" s="188">
        <f aca="true" t="shared" si="8" ref="N19:N27">VLOOKUP($E19,$E$40:$S$51,10)</f>
        <v>0.06211180124223592</v>
      </c>
      <c r="O19" s="87">
        <f aca="true" t="shared" si="9" ref="O19:O27">VLOOKUP($E19,$E$40:$S$51,11)</f>
        <v>17.511120000000002</v>
      </c>
      <c r="P19" s="88">
        <f aca="true" t="shared" si="10" ref="P19:P27">VLOOKUP($E19,$E$40:$S$51,12)</f>
        <v>17.511120000000002</v>
      </c>
      <c r="Q19" s="175">
        <f aca="true" t="shared" si="11" ref="Q19:Q27">VLOOKUP($E19,$E$40:$S$51,13)</f>
        <v>0</v>
      </c>
      <c r="R19" s="89">
        <f aca="true" t="shared" si="12" ref="R19:R27">VLOOKUP($E19,$E$40:$S$51,14)</f>
        <v>2.3759999999999906</v>
      </c>
      <c r="S19" s="183">
        <f aca="true" t="shared" si="13" ref="S19:S27">VLOOKUP($E19,$E$40:$S$51,15)</f>
        <v>0.04260758414997852</v>
      </c>
    </row>
    <row r="20" spans="4:19" ht="21" customHeight="1" hidden="1">
      <c r="D20" s="78" t="s">
        <v>187</v>
      </c>
      <c r="E20" s="201" t="s">
        <v>217</v>
      </c>
      <c r="F20" s="90">
        <f t="shared" si="0"/>
        <v>52272</v>
      </c>
      <c r="G20" s="91">
        <f t="shared" si="1"/>
        <v>40</v>
      </c>
      <c r="H20" s="92">
        <f t="shared" si="2"/>
        <v>4</v>
      </c>
      <c r="I20" s="93">
        <f t="shared" si="3"/>
        <v>58.596911999999996</v>
      </c>
      <c r="J20" s="94">
        <f t="shared" si="4"/>
        <v>56.95272</v>
      </c>
      <c r="K20" s="95">
        <f t="shared" si="5"/>
        <v>59.328720000000004</v>
      </c>
      <c r="L20" s="96">
        <f t="shared" si="6"/>
        <v>39.4416</v>
      </c>
      <c r="M20" s="97">
        <f t="shared" si="7"/>
        <v>41.817600000000006</v>
      </c>
      <c r="N20" s="189">
        <f t="shared" si="8"/>
        <v>0.06024096385542177</v>
      </c>
      <c r="O20" s="98">
        <f t="shared" si="9"/>
        <v>17.511120000000002</v>
      </c>
      <c r="P20" s="99">
        <f t="shared" si="10"/>
        <v>17.511120000000002</v>
      </c>
      <c r="Q20" s="176">
        <f t="shared" si="11"/>
        <v>0</v>
      </c>
      <c r="R20" s="100">
        <f t="shared" si="12"/>
        <v>2.3760000000000048</v>
      </c>
      <c r="S20" s="184">
        <f t="shared" si="13"/>
        <v>0.041718815185648815</v>
      </c>
    </row>
    <row r="21" spans="4:19" ht="21" customHeight="1" hidden="1">
      <c r="D21" s="78" t="s">
        <v>131</v>
      </c>
      <c r="E21" s="201" t="s">
        <v>218</v>
      </c>
      <c r="F21" s="90">
        <f t="shared" si="0"/>
        <v>52272</v>
      </c>
      <c r="G21" s="91">
        <f t="shared" si="1"/>
        <v>40</v>
      </c>
      <c r="H21" s="92">
        <f t="shared" si="2"/>
        <v>4</v>
      </c>
      <c r="I21" s="93">
        <f t="shared" si="3"/>
        <v>41.29488</v>
      </c>
      <c r="J21" s="94">
        <f t="shared" si="4"/>
        <v>38.253600000000006</v>
      </c>
      <c r="K21" s="95">
        <f t="shared" si="5"/>
        <v>40.6296</v>
      </c>
      <c r="L21" s="96">
        <f t="shared" si="6"/>
        <v>38.253600000000006</v>
      </c>
      <c r="M21" s="97">
        <f t="shared" si="7"/>
        <v>40.6296</v>
      </c>
      <c r="N21" s="189">
        <f t="shared" si="8"/>
        <v>0.06211180124223592</v>
      </c>
      <c r="O21" s="98">
        <f t="shared" si="9"/>
        <v>0</v>
      </c>
      <c r="P21" s="99">
        <f t="shared" si="10"/>
        <v>0</v>
      </c>
      <c r="Q21" s="176">
        <f t="shared" si="11"/>
      </c>
      <c r="R21" s="100">
        <f t="shared" si="12"/>
        <v>2.3759999999999977</v>
      </c>
      <c r="S21" s="184">
        <f t="shared" si="13"/>
        <v>0.062111801242235955</v>
      </c>
    </row>
    <row r="22" spans="4:19" ht="21" customHeight="1" hidden="1">
      <c r="D22" s="101" t="s">
        <v>143</v>
      </c>
      <c r="E22" s="199" t="s">
        <v>127</v>
      </c>
      <c r="F22" s="90">
        <f t="shared" si="0"/>
        <v>52272</v>
      </c>
      <c r="G22" s="91">
        <f t="shared" si="1"/>
        <v>40</v>
      </c>
      <c r="H22" s="92">
        <f t="shared" si="2"/>
        <v>4</v>
      </c>
      <c r="I22" s="93">
        <f t="shared" si="3"/>
        <v>58.596911999999996</v>
      </c>
      <c r="J22" s="94">
        <f t="shared" si="4"/>
        <v>55.76472000000001</v>
      </c>
      <c r="K22" s="95">
        <f t="shared" si="5"/>
        <v>58.14072</v>
      </c>
      <c r="L22" s="96">
        <f t="shared" si="6"/>
        <v>38.253600000000006</v>
      </c>
      <c r="M22" s="97">
        <f t="shared" si="7"/>
        <v>40.6296</v>
      </c>
      <c r="N22" s="189">
        <f t="shared" si="8"/>
        <v>0.06211180124223592</v>
      </c>
      <c r="O22" s="98">
        <f t="shared" si="9"/>
        <v>17.511120000000002</v>
      </c>
      <c r="P22" s="99">
        <f t="shared" si="10"/>
        <v>17.511120000000002</v>
      </c>
      <c r="Q22" s="176">
        <f t="shared" si="11"/>
        <v>0</v>
      </c>
      <c r="R22" s="100">
        <f t="shared" si="12"/>
        <v>2.3759999999999906</v>
      </c>
      <c r="S22" s="184">
        <f t="shared" si="13"/>
        <v>0.04260758414997852</v>
      </c>
    </row>
    <row r="23" spans="4:19" ht="21" customHeight="1" hidden="1">
      <c r="D23" s="102" t="s">
        <v>188</v>
      </c>
      <c r="E23" s="103" t="s">
        <v>218</v>
      </c>
      <c r="F23" s="90">
        <f t="shared" si="0"/>
        <v>52272</v>
      </c>
      <c r="G23" s="91">
        <f t="shared" si="1"/>
        <v>40</v>
      </c>
      <c r="H23" s="92">
        <f t="shared" si="2"/>
        <v>4</v>
      </c>
      <c r="I23" s="93">
        <f t="shared" si="3"/>
        <v>41.29488</v>
      </c>
      <c r="J23" s="94">
        <f t="shared" si="4"/>
        <v>38.253600000000006</v>
      </c>
      <c r="K23" s="95">
        <f t="shared" si="5"/>
        <v>40.6296</v>
      </c>
      <c r="L23" s="96">
        <f t="shared" si="6"/>
        <v>38.253600000000006</v>
      </c>
      <c r="M23" s="97">
        <f t="shared" si="7"/>
        <v>40.6296</v>
      </c>
      <c r="N23" s="189">
        <f t="shared" si="8"/>
        <v>0.06211180124223592</v>
      </c>
      <c r="O23" s="98">
        <f t="shared" si="9"/>
        <v>0</v>
      </c>
      <c r="P23" s="99">
        <f t="shared" si="10"/>
        <v>0</v>
      </c>
      <c r="Q23" s="176">
        <f t="shared" si="11"/>
      </c>
      <c r="R23" s="100">
        <f t="shared" si="12"/>
        <v>2.3759999999999977</v>
      </c>
      <c r="S23" s="184">
        <f t="shared" si="13"/>
        <v>0.062111801242235955</v>
      </c>
    </row>
    <row r="24" spans="4:19" ht="21" customHeight="1" hidden="1">
      <c r="D24" s="102" t="s">
        <v>92</v>
      </c>
      <c r="E24" s="103" t="s">
        <v>217</v>
      </c>
      <c r="F24" s="90">
        <f t="shared" si="0"/>
        <v>52272</v>
      </c>
      <c r="G24" s="91">
        <f t="shared" si="1"/>
        <v>40</v>
      </c>
      <c r="H24" s="92">
        <f t="shared" si="2"/>
        <v>4</v>
      </c>
      <c r="I24" s="93">
        <f t="shared" si="3"/>
        <v>58.596911999999996</v>
      </c>
      <c r="J24" s="94">
        <f t="shared" si="4"/>
        <v>56.95272</v>
      </c>
      <c r="K24" s="95">
        <f t="shared" si="5"/>
        <v>59.328720000000004</v>
      </c>
      <c r="L24" s="96">
        <f t="shared" si="6"/>
        <v>39.4416</v>
      </c>
      <c r="M24" s="97">
        <f t="shared" si="7"/>
        <v>41.817600000000006</v>
      </c>
      <c r="N24" s="189">
        <f t="shared" si="8"/>
        <v>0.06024096385542177</v>
      </c>
      <c r="O24" s="98">
        <f t="shared" si="9"/>
        <v>17.511120000000002</v>
      </c>
      <c r="P24" s="99">
        <f t="shared" si="10"/>
        <v>17.511120000000002</v>
      </c>
      <c r="Q24" s="176">
        <f t="shared" si="11"/>
        <v>0</v>
      </c>
      <c r="R24" s="100">
        <f t="shared" si="12"/>
        <v>2.3760000000000048</v>
      </c>
      <c r="S24" s="184">
        <f t="shared" si="13"/>
        <v>0.041718815185648815</v>
      </c>
    </row>
    <row r="25" spans="4:19" ht="21" customHeight="1" hidden="1">
      <c r="D25" s="102" t="s">
        <v>158</v>
      </c>
      <c r="E25" s="103" t="s">
        <v>219</v>
      </c>
      <c r="F25" s="90">
        <f t="shared" si="0"/>
        <v>52272</v>
      </c>
      <c r="G25" s="91">
        <f t="shared" si="1"/>
        <v>40</v>
      </c>
      <c r="H25" s="92">
        <f t="shared" si="2"/>
        <v>4</v>
      </c>
      <c r="I25" s="93">
        <f t="shared" si="3"/>
        <v>0</v>
      </c>
      <c r="J25" s="94">
        <f t="shared" si="4"/>
        <v>0</v>
      </c>
      <c r="K25" s="95">
        <f t="shared" si="5"/>
        <v>64.3896</v>
      </c>
      <c r="L25" s="96">
        <f t="shared" si="6"/>
      </c>
      <c r="M25" s="97">
        <f t="shared" si="7"/>
        <v>64.3896</v>
      </c>
      <c r="N25" s="189" t="str">
        <f t="shared" si="8"/>
        <v>New</v>
      </c>
      <c r="O25" s="98">
        <f t="shared" si="9"/>
      </c>
      <c r="P25" s="99">
        <f t="shared" si="10"/>
        <v>0</v>
      </c>
      <c r="Q25" s="176" t="str">
        <f t="shared" si="11"/>
        <v>New</v>
      </c>
      <c r="R25" s="100" t="str">
        <f t="shared" si="12"/>
        <v>New</v>
      </c>
      <c r="S25" s="184">
        <f t="shared" si="13"/>
      </c>
    </row>
    <row r="26" spans="4:19" ht="21" customHeight="1" hidden="1">
      <c r="D26" s="102" t="s">
        <v>159</v>
      </c>
      <c r="E26" s="103" t="s">
        <v>127</v>
      </c>
      <c r="F26" s="90">
        <f t="shared" si="0"/>
        <v>52272</v>
      </c>
      <c r="G26" s="91">
        <f t="shared" si="1"/>
        <v>40</v>
      </c>
      <c r="H26" s="92">
        <f t="shared" si="2"/>
        <v>4</v>
      </c>
      <c r="I26" s="93">
        <f t="shared" si="3"/>
        <v>58.596911999999996</v>
      </c>
      <c r="J26" s="94">
        <f t="shared" si="4"/>
        <v>55.76472000000001</v>
      </c>
      <c r="K26" s="95">
        <f t="shared" si="5"/>
        <v>58.14072</v>
      </c>
      <c r="L26" s="96">
        <f t="shared" si="6"/>
        <v>38.253600000000006</v>
      </c>
      <c r="M26" s="97">
        <f t="shared" si="7"/>
        <v>40.6296</v>
      </c>
      <c r="N26" s="189">
        <f t="shared" si="8"/>
        <v>0.06211180124223592</v>
      </c>
      <c r="O26" s="98">
        <f t="shared" si="9"/>
        <v>17.511120000000002</v>
      </c>
      <c r="P26" s="99">
        <f t="shared" si="10"/>
        <v>17.511120000000002</v>
      </c>
      <c r="Q26" s="176">
        <f t="shared" si="11"/>
        <v>0</v>
      </c>
      <c r="R26" s="100">
        <f t="shared" si="12"/>
        <v>2.3759999999999906</v>
      </c>
      <c r="S26" s="184">
        <f t="shared" si="13"/>
        <v>0.04260758414997852</v>
      </c>
    </row>
    <row r="27" spans="4:19" ht="21" customHeight="1" hidden="1" thickBot="1">
      <c r="D27" s="104" t="s">
        <v>160</v>
      </c>
      <c r="E27" s="105" t="s">
        <v>128</v>
      </c>
      <c r="F27" s="106">
        <f t="shared" si="0"/>
        <v>52272</v>
      </c>
      <c r="G27" s="91">
        <f t="shared" si="1"/>
        <v>40</v>
      </c>
      <c r="H27" s="92">
        <f t="shared" si="2"/>
        <v>4</v>
      </c>
      <c r="I27" s="93">
        <f t="shared" si="3"/>
        <v>58.596911999999996</v>
      </c>
      <c r="J27" s="107">
        <f t="shared" si="4"/>
        <v>55.76472000000001</v>
      </c>
      <c r="K27" s="108">
        <f t="shared" si="5"/>
        <v>58.14072</v>
      </c>
      <c r="L27" s="109">
        <f t="shared" si="6"/>
        <v>38.253600000000006</v>
      </c>
      <c r="M27" s="110">
        <f t="shared" si="7"/>
        <v>40.6296</v>
      </c>
      <c r="N27" s="190">
        <f t="shared" si="8"/>
        <v>0.06211180124223592</v>
      </c>
      <c r="O27" s="111">
        <f t="shared" si="9"/>
        <v>17.511120000000002</v>
      </c>
      <c r="P27" s="112">
        <f t="shared" si="10"/>
        <v>17.511120000000002</v>
      </c>
      <c r="Q27" s="177">
        <f t="shared" si="11"/>
        <v>0</v>
      </c>
      <c r="R27" s="113">
        <f t="shared" si="12"/>
        <v>2.3759999999999906</v>
      </c>
      <c r="S27" s="185">
        <f t="shared" si="13"/>
        <v>0.04260758414997852</v>
      </c>
    </row>
    <row r="28" spans="3:65" s="4" customFormat="1" ht="6.75" customHeight="1" hidden="1">
      <c r="C28" s="41"/>
      <c r="D28" s="41"/>
      <c r="E28" s="41"/>
      <c r="F28" s="75"/>
      <c r="G28" s="41"/>
      <c r="H28" s="41"/>
      <c r="I28" s="42"/>
      <c r="J28" s="13"/>
      <c r="K28" s="13"/>
      <c r="L28" s="44"/>
      <c r="M28" s="44"/>
      <c r="N28" s="179"/>
      <c r="O28" s="45"/>
      <c r="P28" s="46"/>
      <c r="Q28" s="178"/>
      <c r="R28" s="43"/>
      <c r="S28" s="179"/>
      <c r="T28" s="3"/>
      <c r="U28" s="41"/>
      <c r="W28" s="3"/>
      <c r="X28" s="12"/>
      <c r="Y28" s="12"/>
      <c r="Z28" s="12"/>
      <c r="AA28" s="12"/>
      <c r="AB28" s="12"/>
      <c r="AC28" s="12"/>
      <c r="AD28" s="12"/>
      <c r="AE28" s="12"/>
      <c r="AF28" s="12"/>
      <c r="AG28" s="13"/>
      <c r="AH28" s="13"/>
      <c r="AI28" s="13"/>
      <c r="AJ28" s="12"/>
      <c r="AK28" s="12"/>
      <c r="AL28" s="12"/>
      <c r="AM28" s="12"/>
      <c r="AN28" s="12"/>
      <c r="AO28" s="12"/>
      <c r="AP28" s="65"/>
      <c r="AQ28" s="12"/>
      <c r="AR28" s="65"/>
      <c r="AS28" s="12"/>
      <c r="AT28" s="13"/>
      <c r="AU28" s="13"/>
      <c r="AV28" s="13"/>
      <c r="AW28" s="13"/>
      <c r="AX28" s="13"/>
      <c r="AY28" s="3"/>
      <c r="AZ28" s="3"/>
      <c r="BA28" s="12"/>
      <c r="BB28" s="12"/>
      <c r="BC28" s="12"/>
      <c r="BD28" s="12"/>
      <c r="BE28" s="12"/>
      <c r="BH28" s="12"/>
      <c r="BM28" s="14"/>
    </row>
    <row r="29" spans="4:65" s="4" customFormat="1" ht="13.5" customHeight="1" hidden="1">
      <c r="D29" s="4" t="s">
        <v>9</v>
      </c>
      <c r="F29" s="76"/>
      <c r="G29" s="48"/>
      <c r="H29" s="49"/>
      <c r="I29" s="42"/>
      <c r="J29" s="13"/>
      <c r="K29" s="13"/>
      <c r="L29" s="44"/>
      <c r="M29" s="44"/>
      <c r="N29" s="179"/>
      <c r="O29" s="45"/>
      <c r="P29" s="46"/>
      <c r="Q29" s="178"/>
      <c r="R29" s="43"/>
      <c r="S29" s="179"/>
      <c r="T29" s="3"/>
      <c r="W29" s="3"/>
      <c r="X29" s="12"/>
      <c r="Y29" s="12"/>
      <c r="Z29" s="12"/>
      <c r="AA29" s="12"/>
      <c r="AB29" s="12"/>
      <c r="AC29" s="12"/>
      <c r="AD29" s="12"/>
      <c r="AE29" s="12"/>
      <c r="AF29" s="12"/>
      <c r="AG29" s="13"/>
      <c r="AH29" s="13"/>
      <c r="AI29" s="13"/>
      <c r="AJ29" s="12"/>
      <c r="AK29" s="12"/>
      <c r="AL29" s="12"/>
      <c r="AM29" s="12"/>
      <c r="AN29" s="12"/>
      <c r="AO29" s="12"/>
      <c r="AP29" s="65"/>
      <c r="AQ29" s="12"/>
      <c r="AR29" s="65"/>
      <c r="AS29" s="12"/>
      <c r="AT29" s="13"/>
      <c r="AU29" s="13"/>
      <c r="AV29" s="13"/>
      <c r="AW29" s="13"/>
      <c r="AX29" s="13"/>
      <c r="AY29" s="3"/>
      <c r="AZ29" s="3"/>
      <c r="BA29" s="12"/>
      <c r="BB29" s="12"/>
      <c r="BC29" s="12"/>
      <c r="BD29" s="12"/>
      <c r="BE29" s="12"/>
      <c r="BH29" s="12"/>
      <c r="BM29" s="14"/>
    </row>
    <row r="30" spans="1:65" s="165" customFormat="1" ht="18" customHeight="1" hidden="1">
      <c r="A30" s="198"/>
      <c r="B30" s="198"/>
      <c r="C30" s="198"/>
      <c r="D30" s="4" t="s">
        <v>168</v>
      </c>
      <c r="E30" s="4"/>
      <c r="F30" s="76"/>
      <c r="G30" s="48"/>
      <c r="H30" s="49"/>
      <c r="I30" s="42"/>
      <c r="J30" s="13"/>
      <c r="K30" s="13"/>
      <c r="L30" s="44"/>
      <c r="M30" s="44"/>
      <c r="N30" s="179"/>
      <c r="O30" s="45"/>
      <c r="P30" s="46"/>
      <c r="Q30" s="179"/>
      <c r="R30" s="43"/>
      <c r="S30" s="179"/>
      <c r="T30" s="198"/>
      <c r="U30" s="198"/>
      <c r="V30" s="198"/>
      <c r="W30" s="198"/>
      <c r="X30" s="167"/>
      <c r="Y30" s="167"/>
      <c r="Z30" s="167"/>
      <c r="AA30" s="167"/>
      <c r="AB30" s="167"/>
      <c r="AC30" s="167"/>
      <c r="AD30" s="167"/>
      <c r="AE30" s="167"/>
      <c r="AF30" s="167"/>
      <c r="AG30" s="168"/>
      <c r="AH30" s="168"/>
      <c r="AI30" s="168"/>
      <c r="AJ30" s="167"/>
      <c r="AK30" s="167"/>
      <c r="AL30" s="167"/>
      <c r="AM30" s="167"/>
      <c r="AN30" s="167"/>
      <c r="AO30" s="167"/>
      <c r="AP30" s="169"/>
      <c r="AQ30" s="167"/>
      <c r="AR30" s="169"/>
      <c r="AS30" s="167"/>
      <c r="AT30" s="168"/>
      <c r="AU30" s="168"/>
      <c r="AV30" s="168"/>
      <c r="AW30" s="168"/>
      <c r="AX30" s="168"/>
      <c r="AY30" s="166"/>
      <c r="AZ30" s="166"/>
      <c r="BA30" s="167"/>
      <c r="BB30" s="167"/>
      <c r="BC30" s="167"/>
      <c r="BD30" s="167"/>
      <c r="BE30" s="167"/>
      <c r="BH30" s="167"/>
      <c r="BM30" s="170"/>
    </row>
    <row r="31" spans="4:65" s="165" customFormat="1" ht="18" customHeight="1" hidden="1">
      <c r="D31" s="4" t="s">
        <v>91</v>
      </c>
      <c r="E31" s="4"/>
      <c r="F31" s="76"/>
      <c r="G31" s="48"/>
      <c r="H31" s="49"/>
      <c r="I31" s="42"/>
      <c r="J31" s="13"/>
      <c r="K31" s="13"/>
      <c r="L31" s="44"/>
      <c r="M31" s="44"/>
      <c r="N31" s="179"/>
      <c r="O31" s="45"/>
      <c r="P31" s="46"/>
      <c r="Q31" s="179"/>
      <c r="R31" s="43"/>
      <c r="S31" s="179"/>
      <c r="T31" s="166"/>
      <c r="W31" s="166"/>
      <c r="X31" s="167"/>
      <c r="Y31" s="167"/>
      <c r="Z31" s="167"/>
      <c r="AA31" s="167"/>
      <c r="AB31" s="167"/>
      <c r="AC31" s="167"/>
      <c r="AD31" s="167"/>
      <c r="AE31" s="167"/>
      <c r="AF31" s="167"/>
      <c r="AG31" s="168"/>
      <c r="AH31" s="168"/>
      <c r="AI31" s="168"/>
      <c r="AJ31" s="167"/>
      <c r="AK31" s="167"/>
      <c r="AL31" s="167"/>
      <c r="AM31" s="167"/>
      <c r="AN31" s="167"/>
      <c r="AO31" s="167"/>
      <c r="AP31" s="169"/>
      <c r="AQ31" s="167"/>
      <c r="AR31" s="169"/>
      <c r="AS31" s="167"/>
      <c r="AT31" s="168"/>
      <c r="AU31" s="168"/>
      <c r="AV31" s="168"/>
      <c r="AW31" s="168"/>
      <c r="AX31" s="168"/>
      <c r="AY31" s="166"/>
      <c r="AZ31" s="166"/>
      <c r="BA31" s="167"/>
      <c r="BB31" s="167"/>
      <c r="BC31" s="167"/>
      <c r="BD31" s="167"/>
      <c r="BE31" s="167"/>
      <c r="BH31" s="167"/>
      <c r="BM31" s="170"/>
    </row>
    <row r="32" spans="4:65" s="165" customFormat="1" ht="18" customHeight="1" hidden="1">
      <c r="D32" s="4" t="s">
        <v>113</v>
      </c>
      <c r="E32" s="4"/>
      <c r="F32" s="76"/>
      <c r="G32" s="48"/>
      <c r="H32" s="49"/>
      <c r="I32" s="42"/>
      <c r="J32" s="13"/>
      <c r="K32" s="13"/>
      <c r="L32" s="44"/>
      <c r="M32" s="44"/>
      <c r="N32" s="179"/>
      <c r="O32" s="45"/>
      <c r="P32" s="46"/>
      <c r="Q32" s="179"/>
      <c r="R32" s="43"/>
      <c r="S32" s="179"/>
      <c r="T32" s="166"/>
      <c r="W32" s="166"/>
      <c r="X32" s="167"/>
      <c r="Y32" s="167"/>
      <c r="Z32" s="167"/>
      <c r="AA32" s="167"/>
      <c r="AB32" s="167"/>
      <c r="AC32" s="167"/>
      <c r="AD32" s="167"/>
      <c r="AE32" s="167"/>
      <c r="AF32" s="167"/>
      <c r="AG32" s="168"/>
      <c r="AH32" s="168"/>
      <c r="AI32" s="168"/>
      <c r="AJ32" s="167"/>
      <c r="AK32" s="167"/>
      <c r="AL32" s="167"/>
      <c r="AM32" s="167"/>
      <c r="AN32" s="167"/>
      <c r="AO32" s="167"/>
      <c r="AP32" s="169"/>
      <c r="AQ32" s="167"/>
      <c r="AR32" s="169"/>
      <c r="AS32" s="167"/>
      <c r="AT32" s="168"/>
      <c r="AU32" s="168"/>
      <c r="AV32" s="168"/>
      <c r="AW32" s="168"/>
      <c r="AX32" s="168"/>
      <c r="AY32" s="166"/>
      <c r="AZ32" s="166"/>
      <c r="BA32" s="167"/>
      <c r="BB32" s="167"/>
      <c r="BC32" s="167"/>
      <c r="BD32" s="167"/>
      <c r="BE32" s="167"/>
      <c r="BH32" s="167"/>
      <c r="BM32" s="170"/>
    </row>
    <row r="33" spans="4:65" s="165" customFormat="1" ht="15" customHeight="1" hidden="1">
      <c r="D33" s="222" t="s">
        <v>201</v>
      </c>
      <c r="E33" s="4"/>
      <c r="F33" s="76"/>
      <c r="G33" s="48"/>
      <c r="H33" s="49"/>
      <c r="I33" s="42"/>
      <c r="J33" s="13"/>
      <c r="K33" s="13"/>
      <c r="L33" s="44"/>
      <c r="M33" s="44"/>
      <c r="N33" s="179"/>
      <c r="O33" s="45"/>
      <c r="P33" s="46"/>
      <c r="Q33" s="179"/>
      <c r="R33" s="43"/>
      <c r="S33" s="179"/>
      <c r="T33" s="166"/>
      <c r="W33" s="166"/>
      <c r="X33" s="167"/>
      <c r="Y33" s="167"/>
      <c r="Z33" s="167"/>
      <c r="AA33" s="167"/>
      <c r="AB33" s="167"/>
      <c r="AC33" s="167"/>
      <c r="AD33" s="167"/>
      <c r="AE33" s="167"/>
      <c r="AF33" s="167"/>
      <c r="AG33" s="168"/>
      <c r="AH33" s="168"/>
      <c r="AI33" s="168"/>
      <c r="AJ33" s="167"/>
      <c r="AK33" s="167"/>
      <c r="AL33" s="167"/>
      <c r="AM33" s="167"/>
      <c r="AN33" s="167"/>
      <c r="AO33" s="167"/>
      <c r="AP33" s="169"/>
      <c r="AQ33" s="167"/>
      <c r="AR33" s="169"/>
      <c r="AS33" s="167"/>
      <c r="AT33" s="168"/>
      <c r="AU33" s="168"/>
      <c r="AV33" s="168"/>
      <c r="AW33" s="168"/>
      <c r="AX33" s="168"/>
      <c r="AY33" s="166"/>
      <c r="AZ33" s="166"/>
      <c r="BA33" s="167"/>
      <c r="BB33" s="167"/>
      <c r="BC33" s="167"/>
      <c r="BD33" s="167"/>
      <c r="BE33" s="167"/>
      <c r="BH33" s="167"/>
      <c r="BM33" s="170"/>
    </row>
    <row r="34" spans="4:65" s="165" customFormat="1" ht="9" customHeight="1" hidden="1"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166"/>
      <c r="W34" s="166"/>
      <c r="X34" s="167"/>
      <c r="Y34" s="167"/>
      <c r="Z34" s="167"/>
      <c r="AA34" s="167"/>
      <c r="AB34" s="167"/>
      <c r="AC34" s="167"/>
      <c r="AD34" s="167"/>
      <c r="AE34" s="167"/>
      <c r="AF34" s="167"/>
      <c r="AG34" s="168"/>
      <c r="AH34" s="168"/>
      <c r="AI34" s="168"/>
      <c r="AJ34" s="167"/>
      <c r="AK34" s="167"/>
      <c r="AL34" s="167"/>
      <c r="AM34" s="167"/>
      <c r="AN34" s="167"/>
      <c r="AO34" s="167"/>
      <c r="AP34" s="169"/>
      <c r="AQ34" s="167"/>
      <c r="AR34" s="169"/>
      <c r="AS34" s="167"/>
      <c r="AT34" s="168"/>
      <c r="AU34" s="168"/>
      <c r="AV34" s="168"/>
      <c r="AW34" s="168"/>
      <c r="AX34" s="168"/>
      <c r="AY34" s="166"/>
      <c r="AZ34" s="166"/>
      <c r="BA34" s="167"/>
      <c r="BB34" s="167"/>
      <c r="BC34" s="167"/>
      <c r="BD34" s="167"/>
      <c r="BE34" s="167"/>
      <c r="BH34" s="167"/>
      <c r="BM34" s="170"/>
    </row>
    <row r="35" spans="4:65" s="4" customFormat="1" ht="12" customHeight="1" hidden="1" thickBot="1"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3"/>
      <c r="W35" s="3"/>
      <c r="X35" s="12"/>
      <c r="Y35" s="12"/>
      <c r="Z35" s="12"/>
      <c r="AA35" s="12"/>
      <c r="AB35" s="12"/>
      <c r="AC35" s="12"/>
      <c r="AD35" s="12"/>
      <c r="AE35" s="12"/>
      <c r="AF35" s="12"/>
      <c r="AG35" s="13"/>
      <c r="AH35" s="13"/>
      <c r="AI35" s="13"/>
      <c r="AJ35" s="12"/>
      <c r="AK35" s="12"/>
      <c r="AL35" s="12"/>
      <c r="AM35" s="12"/>
      <c r="AN35" s="12"/>
      <c r="AO35" s="12"/>
      <c r="AP35" s="65"/>
      <c r="AQ35" s="12"/>
      <c r="AR35" s="65"/>
      <c r="AS35" s="12"/>
      <c r="AT35" s="13"/>
      <c r="AU35" s="13"/>
      <c r="AV35" s="13"/>
      <c r="AW35" s="13"/>
      <c r="AX35" s="13"/>
      <c r="AY35" s="3"/>
      <c r="AZ35" s="3"/>
      <c r="BA35" s="12"/>
      <c r="BB35" s="12"/>
      <c r="BC35" s="12"/>
      <c r="BD35" s="12"/>
      <c r="BE35" s="12"/>
      <c r="BH35" s="12"/>
      <c r="BM35" s="14"/>
    </row>
    <row r="36" spans="4:19" ht="18" customHeight="1" hidden="1" thickBot="1" thickTop="1">
      <c r="D36" s="193" t="s">
        <v>86</v>
      </c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5"/>
    </row>
    <row r="37" spans="4:61" ht="18" customHeight="1" hidden="1">
      <c r="D37" s="131"/>
      <c r="E37" s="132"/>
      <c r="F37" s="120" t="s">
        <v>121</v>
      </c>
      <c r="G37" s="121" t="s">
        <v>125</v>
      </c>
      <c r="H37" s="133" t="s">
        <v>66</v>
      </c>
      <c r="I37" s="134" t="s">
        <v>126</v>
      </c>
      <c r="J37" s="229" t="s">
        <v>126</v>
      </c>
      <c r="K37" s="230"/>
      <c r="L37" s="231" t="s">
        <v>4</v>
      </c>
      <c r="M37" s="232"/>
      <c r="N37" s="233"/>
      <c r="O37" s="234" t="s">
        <v>167</v>
      </c>
      <c r="P37" s="235"/>
      <c r="Q37" s="236"/>
      <c r="R37" s="237" t="s">
        <v>223</v>
      </c>
      <c r="S37" s="238"/>
      <c r="T37" s="1"/>
      <c r="W37" s="1"/>
      <c r="X37" s="23" t="s">
        <v>62</v>
      </c>
      <c r="Y37" s="23" t="s">
        <v>62</v>
      </c>
      <c r="Z37" s="23" t="s">
        <v>62</v>
      </c>
      <c r="AA37" s="23" t="s">
        <v>63</v>
      </c>
      <c r="AB37" s="23"/>
      <c r="AC37" s="23" t="s">
        <v>63</v>
      </c>
      <c r="AD37" s="23"/>
      <c r="AE37" s="23" t="s">
        <v>63</v>
      </c>
      <c r="AF37" s="23"/>
      <c r="AG37" s="24" t="s">
        <v>64</v>
      </c>
      <c r="AH37" s="24" t="s">
        <v>64</v>
      </c>
      <c r="AI37" s="24" t="s">
        <v>64</v>
      </c>
      <c r="AJ37" s="135" t="s">
        <v>41</v>
      </c>
      <c r="AK37" s="26"/>
      <c r="AL37" s="135" t="s">
        <v>225</v>
      </c>
      <c r="AM37" s="26"/>
      <c r="AN37" s="135" t="s">
        <v>146</v>
      </c>
      <c r="AO37" s="26"/>
      <c r="AP37" s="67">
        <v>2009</v>
      </c>
      <c r="AQ37" s="23" t="s">
        <v>147</v>
      </c>
      <c r="AR37" s="67">
        <v>2010</v>
      </c>
      <c r="AS37" s="23" t="s">
        <v>148</v>
      </c>
      <c r="AT37" s="239" t="s">
        <v>31</v>
      </c>
      <c r="AU37" s="240"/>
      <c r="AV37" s="241"/>
      <c r="AW37" s="242" t="s">
        <v>32</v>
      </c>
      <c r="AX37" s="243"/>
      <c r="AY37" s="244"/>
      <c r="AZ37" s="13" t="s">
        <v>195</v>
      </c>
      <c r="BA37" s="136">
        <v>2011</v>
      </c>
      <c r="BB37" s="136">
        <v>2011</v>
      </c>
      <c r="BC37" s="136">
        <v>2011</v>
      </c>
      <c r="BD37" s="136">
        <v>2011</v>
      </c>
      <c r="BE37" s="136">
        <v>2011</v>
      </c>
      <c r="BF37" s="136">
        <v>2010</v>
      </c>
      <c r="BG37" s="136">
        <v>2010</v>
      </c>
      <c r="BH37" s="136">
        <v>2010</v>
      </c>
      <c r="BI37" s="136">
        <v>2010</v>
      </c>
    </row>
    <row r="38" spans="4:65" ht="15.75" customHeight="1" hidden="1" thickBot="1">
      <c r="D38" s="137" t="s">
        <v>151</v>
      </c>
      <c r="E38" s="138" t="s">
        <v>152</v>
      </c>
      <c r="F38" s="123" t="s">
        <v>153</v>
      </c>
      <c r="G38" s="124" t="s">
        <v>154</v>
      </c>
      <c r="H38" s="139" t="s">
        <v>155</v>
      </c>
      <c r="I38" s="140">
        <v>2003</v>
      </c>
      <c r="J38" s="126">
        <f>$Y$38</f>
        <v>2010</v>
      </c>
      <c r="K38" s="127">
        <f>$Z$38</f>
        <v>2011</v>
      </c>
      <c r="L38" s="128">
        <f>$Y$38</f>
        <v>2010</v>
      </c>
      <c r="M38" s="129">
        <f>$Z$38</f>
        <v>2011</v>
      </c>
      <c r="N38" s="187" t="s">
        <v>161</v>
      </c>
      <c r="O38" s="141">
        <f>$Y$38</f>
        <v>2010</v>
      </c>
      <c r="P38" s="142">
        <f>$Z$38</f>
        <v>2011</v>
      </c>
      <c r="Q38" s="173" t="s">
        <v>161</v>
      </c>
      <c r="R38" s="130" t="s">
        <v>156</v>
      </c>
      <c r="S38" s="182" t="s">
        <v>161</v>
      </c>
      <c r="X38" s="143">
        <v>2009</v>
      </c>
      <c r="Y38" s="143">
        <v>2010</v>
      </c>
      <c r="Z38" s="143">
        <v>2011</v>
      </c>
      <c r="AA38" s="26">
        <v>2009</v>
      </c>
      <c r="AB38" s="26" t="s">
        <v>84</v>
      </c>
      <c r="AC38" s="26">
        <v>2010</v>
      </c>
      <c r="AD38" s="26" t="s">
        <v>224</v>
      </c>
      <c r="AE38" s="26">
        <v>2011</v>
      </c>
      <c r="AF38" s="26" t="s">
        <v>145</v>
      </c>
      <c r="AG38" s="143">
        <v>2009</v>
      </c>
      <c r="AH38" s="143">
        <v>2010</v>
      </c>
      <c r="AI38" s="143">
        <v>2011</v>
      </c>
      <c r="AJ38" s="26" t="s">
        <v>165</v>
      </c>
      <c r="AK38" s="26" t="s">
        <v>65</v>
      </c>
      <c r="AL38" s="26" t="s">
        <v>165</v>
      </c>
      <c r="AM38" s="26" t="s">
        <v>65</v>
      </c>
      <c r="AN38" s="26" t="s">
        <v>165</v>
      </c>
      <c r="AO38" s="26" t="s">
        <v>65</v>
      </c>
      <c r="AP38" s="67" t="s">
        <v>65</v>
      </c>
      <c r="AQ38" s="23" t="s">
        <v>226</v>
      </c>
      <c r="AR38" s="67" t="s">
        <v>65</v>
      </c>
      <c r="AS38" s="23" t="s">
        <v>227</v>
      </c>
      <c r="AT38" s="28" t="s">
        <v>66</v>
      </c>
      <c r="AU38" s="28" t="s">
        <v>63</v>
      </c>
      <c r="AV38" s="28" t="s">
        <v>64</v>
      </c>
      <c r="AW38" s="24" t="s">
        <v>66</v>
      </c>
      <c r="AX38" s="24" t="s">
        <v>63</v>
      </c>
      <c r="AY38" s="24" t="s">
        <v>67</v>
      </c>
      <c r="AZ38" s="13" t="s">
        <v>196</v>
      </c>
      <c r="BA38" s="5" t="s">
        <v>162</v>
      </c>
      <c r="BB38" s="5" t="s">
        <v>153</v>
      </c>
      <c r="BC38" s="5" t="s">
        <v>163</v>
      </c>
      <c r="BD38" s="5" t="s">
        <v>237</v>
      </c>
      <c r="BE38" s="5" t="s">
        <v>117</v>
      </c>
      <c r="BF38" s="5" t="s">
        <v>162</v>
      </c>
      <c r="BG38" s="5" t="s">
        <v>238</v>
      </c>
      <c r="BH38" s="5" t="s">
        <v>163</v>
      </c>
      <c r="BI38" s="1" t="s">
        <v>239</v>
      </c>
      <c r="BK38" s="1" t="s">
        <v>118</v>
      </c>
      <c r="BL38" s="1" t="s">
        <v>119</v>
      </c>
      <c r="BM38" s="7" t="s">
        <v>120</v>
      </c>
    </row>
    <row r="39" spans="4:52" ht="3.75" customHeight="1" hidden="1" thickBot="1">
      <c r="D39" s="53"/>
      <c r="E39" s="144"/>
      <c r="F39" s="74"/>
      <c r="G39" s="55"/>
      <c r="H39" s="56"/>
      <c r="I39" s="57"/>
      <c r="J39" s="58"/>
      <c r="K39" s="59"/>
      <c r="L39" s="60"/>
      <c r="M39" s="61"/>
      <c r="N39" s="174"/>
      <c r="O39" s="62"/>
      <c r="P39" s="63"/>
      <c r="Q39" s="174"/>
      <c r="R39" s="64"/>
      <c r="S39" s="174"/>
      <c r="X39" s="145"/>
      <c r="Y39" s="145"/>
      <c r="Z39" s="145"/>
      <c r="AA39" s="145"/>
      <c r="AB39" s="145"/>
      <c r="AC39" s="145"/>
      <c r="AD39" s="145"/>
      <c r="AE39" s="145"/>
      <c r="AF39" s="145"/>
      <c r="AG39" s="146"/>
      <c r="AH39" s="146"/>
      <c r="AI39" s="146"/>
      <c r="AJ39" s="145"/>
      <c r="AK39" s="145"/>
      <c r="AL39" s="145"/>
      <c r="AM39" s="145"/>
      <c r="AN39" s="145"/>
      <c r="AO39" s="145"/>
      <c r="AP39" s="147"/>
      <c r="AQ39" s="145"/>
      <c r="AR39" s="147"/>
      <c r="AS39" s="145"/>
      <c r="AT39" s="146"/>
      <c r="AU39" s="146"/>
      <c r="AV39" s="146"/>
      <c r="AW39" s="146"/>
      <c r="AX39" s="146"/>
      <c r="AY39" s="146"/>
      <c r="AZ39" s="148"/>
    </row>
    <row r="40" spans="2:66" ht="18.75" customHeight="1">
      <c r="B40" s="4" t="s">
        <v>12</v>
      </c>
      <c r="C40" s="4" t="s">
        <v>130</v>
      </c>
      <c r="D40" s="205" t="s">
        <v>70</v>
      </c>
      <c r="E40" s="192" t="s">
        <v>129</v>
      </c>
      <c r="F40" s="79">
        <f aca="true" t="shared" si="14" ref="F40:F51">IF($J$11&gt;0,$J$11,$M$11)</f>
        <v>52272</v>
      </c>
      <c r="G40" s="80">
        <f aca="true" t="shared" si="15" ref="G40:G51">$K$11</f>
        <v>40</v>
      </c>
      <c r="H40" s="149">
        <f aca="true" t="shared" si="16" ref="H40:H51">$L$11</f>
        <v>4</v>
      </c>
      <c r="I40" s="150">
        <f aca="true" t="shared" si="17" ref="I40:I51">IF(AK40="","",IF($F40&gt;0,($F40/$AK40)*AG40,IF($G40&gt;0,(((43560/($G40/12))*$H40)/$AK40)*AG40,0)))</f>
        <v>58.596911999999996</v>
      </c>
      <c r="J40" s="83">
        <f aca="true" t="shared" si="18" ref="J40:J51">BI40</f>
        <v>55.76472000000001</v>
      </c>
      <c r="K40" s="84">
        <f aca="true" t="shared" si="19" ref="K40:K51">BD40</f>
        <v>58.14072</v>
      </c>
      <c r="L40" s="151">
        <f aca="true" t="shared" si="20" ref="L40:L51">BG40</f>
        <v>38.253600000000006</v>
      </c>
      <c r="M40" s="152">
        <f aca="true" t="shared" si="21" ref="M40:M51">BB40</f>
        <v>40.6296</v>
      </c>
      <c r="N40" s="188">
        <f aca="true" t="shared" si="22" ref="N40:N51">IF(R40="New","New",(M40/L40)-1)</f>
        <v>0.06211180124223592</v>
      </c>
      <c r="O40" s="153">
        <f aca="true" t="shared" si="23" ref="O40:O51">IF(AW40="","",BH40)</f>
        <v>17.511120000000002</v>
      </c>
      <c r="P40" s="154">
        <f aca="true" t="shared" si="24" ref="P40:P51">IF(BC40="","",BC40)</f>
        <v>17.511120000000002</v>
      </c>
      <c r="Q40" s="176">
        <f aca="true" t="shared" si="25" ref="Q40:Q51">IF(R40="New","New",IF(AX40="","",(P40/O40)-1))</f>
        <v>0</v>
      </c>
      <c r="R40" s="100">
        <f aca="true" t="shared" si="26" ref="R40:R51">IF(J40="","New",IF(J40=0,"New",K40-J40))</f>
        <v>2.3759999999999906</v>
      </c>
      <c r="S40" s="184">
        <f aca="true" t="shared" si="27" ref="S40:S51">IF(R40="New","",R40/J40)</f>
        <v>0.04260758414997852</v>
      </c>
      <c r="U40" s="208" t="s">
        <v>130</v>
      </c>
      <c r="V40" s="4" t="s">
        <v>12</v>
      </c>
      <c r="X40" s="32">
        <v>158</v>
      </c>
      <c r="Y40" s="32">
        <v>161</v>
      </c>
      <c r="Z40" s="32">
        <v>171</v>
      </c>
      <c r="AA40" s="32">
        <v>66.2</v>
      </c>
      <c r="AB40" s="32"/>
      <c r="AC40" s="32">
        <v>73.7</v>
      </c>
      <c r="AD40" s="32"/>
      <c r="AE40" s="32">
        <v>73.7</v>
      </c>
      <c r="AF40" s="32"/>
      <c r="AG40" s="32">
        <f aca="true" t="shared" si="28" ref="AG40:AG51">X40+(AA40+AB40)</f>
        <v>224.2</v>
      </c>
      <c r="AH40" s="32">
        <f aca="true" t="shared" si="29" ref="AH40:AH51">Y40+(AC40+AD40)</f>
        <v>234.7</v>
      </c>
      <c r="AI40" s="32">
        <f aca="true" t="shared" si="30" ref="AI40:AI51">Z40+(AE40+AF40)</f>
        <v>244.7</v>
      </c>
      <c r="AJ40" s="26"/>
      <c r="AK40" s="33">
        <v>200000</v>
      </c>
      <c r="AL40" s="26"/>
      <c r="AM40" s="33">
        <v>220000</v>
      </c>
      <c r="AN40" s="26"/>
      <c r="AO40" s="33">
        <v>220000</v>
      </c>
      <c r="AP40" s="67">
        <f aca="true" t="shared" si="31" ref="AP40:AP51">AK40</f>
        <v>200000</v>
      </c>
      <c r="AQ40" s="34">
        <f aca="true" t="shared" si="32" ref="AQ40:AQ51">IF(AK40&gt;0,AM40/AK40*100,"Not Avail.")</f>
        <v>110.00000000000001</v>
      </c>
      <c r="AR40" s="67">
        <f aca="true" t="shared" si="33" ref="AR40:AR51">AM40</f>
        <v>220000</v>
      </c>
      <c r="AS40" s="34">
        <f aca="true" t="shared" si="34" ref="AS40:AS51">IF(AM40&gt;0,AO40/AM40*100,"Not Avail.")</f>
        <v>100</v>
      </c>
      <c r="AT40" s="28">
        <f aca="true" t="shared" si="35" ref="AT40:AT51">IF(Y40="","",Y40/AS40*100)</f>
        <v>161</v>
      </c>
      <c r="AU40" s="28">
        <f aca="true" t="shared" si="36" ref="AU40:AU51">IF(AC40="","",((AC40+AD40)/AS40*100))</f>
        <v>73.7</v>
      </c>
      <c r="AV40" s="28">
        <f aca="true" t="shared" si="37" ref="AV40:AV51">IF(AT40="","",SUM(AT40:AU40))</f>
        <v>234.7</v>
      </c>
      <c r="AW40" s="24">
        <f aca="true" t="shared" si="38" ref="AW40:AW51">IF(AT40="","",Z40-AT40)</f>
        <v>10</v>
      </c>
      <c r="AX40" s="24">
        <f aca="true" t="shared" si="39" ref="AX40:AX51">IF(AU40="","",(AE40+AF40)-AU40)</f>
        <v>0</v>
      </c>
      <c r="AY40" s="24">
        <f aca="true" t="shared" si="40" ref="AY40:AY51">IF(AH40&gt;0,AI40-AV40,"New")</f>
        <v>10</v>
      </c>
      <c r="AZ40" s="156">
        <f aca="true" t="shared" si="41" ref="AZ40:AZ51">F40</f>
        <v>52272</v>
      </c>
      <c r="BA40" s="35">
        <f aca="true" t="shared" si="42" ref="BA40:BA51">IF($F40&gt;0,($F40/$AO40),IF($G40&gt;0,(((43560/($G40/12))*$H40)/$AO40),0))</f>
        <v>0.2376</v>
      </c>
      <c r="BB40" s="35">
        <f aca="true" t="shared" si="43" ref="BB40:BB51">Z40/(1/BA40)</f>
        <v>40.6296</v>
      </c>
      <c r="BC40" s="36">
        <f aca="true" t="shared" si="44" ref="BC40:BC51">((AE40+AF40)/(1/BA40))</f>
        <v>17.511120000000002</v>
      </c>
      <c r="BD40" s="36">
        <f aca="true" t="shared" si="45" ref="BD40:BD51">BB40+BC40</f>
        <v>58.14072</v>
      </c>
      <c r="BE40" s="36" t="str">
        <f aca="true" t="shared" si="46" ref="BE40:BE51">IF(BD40=K40,"yes","no")</f>
        <v>yes</v>
      </c>
      <c r="BF40" s="37">
        <f aca="true" t="shared" si="47" ref="BF40:BF51">IF(AM40="","",IF($F40&gt;0,($F40/AM40),IF($G40&gt;0,((((43560/($G40/12))*$H40)/$AM40)),0)))</f>
        <v>0.2376</v>
      </c>
      <c r="BG40" s="37">
        <f aca="true" t="shared" si="48" ref="BG40:BG51">IF(Y40="","",Y40/(1/BF40))</f>
        <v>38.253600000000006</v>
      </c>
      <c r="BH40" s="36">
        <f aca="true" t="shared" si="49" ref="BH40:BH51">((AC40+AD40)/(1/BF40))</f>
        <v>17.511120000000002</v>
      </c>
      <c r="BI40" s="38">
        <f aca="true" t="shared" si="50" ref="BI40:BI51">SUM(BG40:BH40)</f>
        <v>55.76472000000001</v>
      </c>
      <c r="BJ40" s="1" t="str">
        <f aca="true" t="shared" si="51" ref="BJ40:BJ51">IF(J40=BI40,"yes","no")</f>
        <v>yes</v>
      </c>
      <c r="BK40" s="37">
        <f aca="true" t="shared" si="52" ref="BK40:BK51">IF(BG40="","",IF(BG40=0,"",BB40-BG40))</f>
        <v>2.3759999999999977</v>
      </c>
      <c r="BL40" s="37">
        <f aca="true" t="shared" si="53" ref="BL40:BL51">IF(BH40="","",IF(BH40=0,"",BC40-BH40))</f>
        <v>0</v>
      </c>
      <c r="BM40" s="7">
        <f aca="true" t="shared" si="54" ref="BM40:BM51">IF(BK40="","",BD40-BI40)</f>
        <v>2.3759999999999906</v>
      </c>
      <c r="BN40" s="7">
        <f aca="true" t="shared" si="55" ref="BN40:BN51">R40-BM40</f>
        <v>0</v>
      </c>
    </row>
    <row r="41" spans="4:70" ht="18.75" customHeight="1">
      <c r="D41" s="157" t="s">
        <v>157</v>
      </c>
      <c r="E41" s="158" t="s">
        <v>100</v>
      </c>
      <c r="F41" s="79">
        <f t="shared" si="14"/>
        <v>52272</v>
      </c>
      <c r="G41" s="80">
        <f t="shared" si="15"/>
        <v>40</v>
      </c>
      <c r="H41" s="149">
        <f t="shared" si="16"/>
        <v>4</v>
      </c>
      <c r="I41" s="150">
        <f t="shared" si="17"/>
      </c>
      <c r="J41" s="83">
        <f t="shared" si="18"/>
        <v>55.76472000000001</v>
      </c>
      <c r="K41" s="84">
        <f t="shared" si="19"/>
        <v>59.328720000000004</v>
      </c>
      <c r="L41" s="151">
        <f t="shared" si="20"/>
        <v>38.253600000000006</v>
      </c>
      <c r="M41" s="152">
        <f t="shared" si="21"/>
        <v>41.817600000000006</v>
      </c>
      <c r="N41" s="188">
        <f t="shared" si="22"/>
        <v>0.0931677018633541</v>
      </c>
      <c r="O41" s="153">
        <f t="shared" si="23"/>
        <v>17.511120000000002</v>
      </c>
      <c r="P41" s="154">
        <f t="shared" si="24"/>
        <v>17.511120000000002</v>
      </c>
      <c r="Q41" s="176">
        <f t="shared" si="25"/>
        <v>0</v>
      </c>
      <c r="R41" s="100">
        <f t="shared" si="26"/>
        <v>3.563999999999993</v>
      </c>
      <c r="S41" s="184">
        <f t="shared" si="27"/>
        <v>0.06391137622496791</v>
      </c>
      <c r="U41" s="208" t="s">
        <v>105</v>
      </c>
      <c r="V41" s="4" t="s">
        <v>12</v>
      </c>
      <c r="X41" s="155"/>
      <c r="Y41" s="155">
        <v>161</v>
      </c>
      <c r="Z41" s="155">
        <v>176</v>
      </c>
      <c r="AA41" s="155"/>
      <c r="AB41" s="155"/>
      <c r="AC41" s="155">
        <v>73.7</v>
      </c>
      <c r="AD41" s="155"/>
      <c r="AE41" s="155">
        <v>73.7</v>
      </c>
      <c r="AF41" s="155"/>
      <c r="AG41" s="32">
        <f t="shared" si="28"/>
        <v>0</v>
      </c>
      <c r="AH41" s="32">
        <f t="shared" si="29"/>
        <v>234.7</v>
      </c>
      <c r="AI41" s="32">
        <f t="shared" si="30"/>
        <v>249.7</v>
      </c>
      <c r="AJ41" s="26"/>
      <c r="AK41" s="33"/>
      <c r="AL41" s="26"/>
      <c r="AM41" s="33">
        <v>220000</v>
      </c>
      <c r="AN41" s="26"/>
      <c r="AO41" s="33">
        <v>220000</v>
      </c>
      <c r="AP41" s="67">
        <f t="shared" si="31"/>
        <v>0</v>
      </c>
      <c r="AQ41" s="34" t="str">
        <f t="shared" si="32"/>
        <v>Not Avail.</v>
      </c>
      <c r="AR41" s="67">
        <f t="shared" si="33"/>
        <v>220000</v>
      </c>
      <c r="AS41" s="34">
        <f t="shared" si="34"/>
        <v>100</v>
      </c>
      <c r="AT41" s="28">
        <f t="shared" si="35"/>
        <v>161</v>
      </c>
      <c r="AU41" s="28">
        <f t="shared" si="36"/>
        <v>73.7</v>
      </c>
      <c r="AV41" s="28">
        <f t="shared" si="37"/>
        <v>234.7</v>
      </c>
      <c r="AW41" s="24">
        <f t="shared" si="38"/>
        <v>15</v>
      </c>
      <c r="AX41" s="24">
        <f t="shared" si="39"/>
        <v>0</v>
      </c>
      <c r="AY41" s="24">
        <f t="shared" si="40"/>
        <v>15</v>
      </c>
      <c r="AZ41" s="156">
        <f t="shared" si="41"/>
        <v>52272</v>
      </c>
      <c r="BA41" s="35">
        <f t="shared" si="42"/>
        <v>0.2376</v>
      </c>
      <c r="BB41" s="35">
        <f t="shared" si="43"/>
        <v>41.817600000000006</v>
      </c>
      <c r="BC41" s="36">
        <f t="shared" si="44"/>
        <v>17.511120000000002</v>
      </c>
      <c r="BD41" s="36">
        <f t="shared" si="45"/>
        <v>59.328720000000004</v>
      </c>
      <c r="BE41" s="36" t="str">
        <f t="shared" si="46"/>
        <v>yes</v>
      </c>
      <c r="BF41" s="37">
        <f t="shared" si="47"/>
        <v>0.2376</v>
      </c>
      <c r="BG41" s="37">
        <f t="shared" si="48"/>
        <v>38.253600000000006</v>
      </c>
      <c r="BH41" s="36">
        <f t="shared" si="49"/>
        <v>17.511120000000002</v>
      </c>
      <c r="BI41" s="38">
        <f t="shared" si="50"/>
        <v>55.76472000000001</v>
      </c>
      <c r="BJ41" s="1" t="str">
        <f t="shared" si="51"/>
        <v>yes</v>
      </c>
      <c r="BK41" s="37">
        <f t="shared" si="52"/>
        <v>3.564</v>
      </c>
      <c r="BL41" s="37">
        <f t="shared" si="53"/>
        <v>0</v>
      </c>
      <c r="BM41" s="7">
        <f t="shared" si="54"/>
        <v>3.563999999999993</v>
      </c>
      <c r="BN41" s="7">
        <f t="shared" si="55"/>
        <v>0</v>
      </c>
      <c r="BO41" s="7"/>
      <c r="BP41" s="7"/>
      <c r="BR41" s="7"/>
    </row>
    <row r="42" spans="2:66" ht="18.75" customHeight="1">
      <c r="B42" s="4" t="s">
        <v>12</v>
      </c>
      <c r="C42" s="4" t="s">
        <v>241</v>
      </c>
      <c r="D42" s="157" t="s">
        <v>157</v>
      </c>
      <c r="E42" s="158" t="s">
        <v>99</v>
      </c>
      <c r="F42" s="79">
        <f t="shared" si="14"/>
        <v>52272</v>
      </c>
      <c r="G42" s="80">
        <f t="shared" si="15"/>
        <v>40</v>
      </c>
      <c r="H42" s="149">
        <f t="shared" si="16"/>
        <v>4</v>
      </c>
      <c r="I42" s="150">
        <f t="shared" si="17"/>
        <v>58.596911999999996</v>
      </c>
      <c r="J42" s="83">
        <f t="shared" si="18"/>
        <v>56.95272</v>
      </c>
      <c r="K42" s="84">
        <f t="shared" si="19"/>
        <v>59.328720000000004</v>
      </c>
      <c r="L42" s="151">
        <f t="shared" si="20"/>
        <v>39.4416</v>
      </c>
      <c r="M42" s="152">
        <f t="shared" si="21"/>
        <v>41.817600000000006</v>
      </c>
      <c r="N42" s="188">
        <f t="shared" si="22"/>
        <v>0.06024096385542177</v>
      </c>
      <c r="O42" s="153">
        <f t="shared" si="23"/>
        <v>17.511120000000002</v>
      </c>
      <c r="P42" s="154">
        <f t="shared" si="24"/>
        <v>17.511120000000002</v>
      </c>
      <c r="Q42" s="176">
        <f t="shared" si="25"/>
        <v>0</v>
      </c>
      <c r="R42" s="100">
        <f t="shared" si="26"/>
        <v>2.3760000000000048</v>
      </c>
      <c r="S42" s="184">
        <f t="shared" si="27"/>
        <v>0.041718815185648815</v>
      </c>
      <c r="U42" s="208" t="s">
        <v>242</v>
      </c>
      <c r="V42" s="4" t="s">
        <v>12</v>
      </c>
      <c r="X42" s="32">
        <v>158</v>
      </c>
      <c r="Y42" s="32">
        <v>166</v>
      </c>
      <c r="Z42" s="32">
        <v>176</v>
      </c>
      <c r="AA42" s="32">
        <v>66.2</v>
      </c>
      <c r="AB42" s="32"/>
      <c r="AC42" s="32">
        <v>73.7</v>
      </c>
      <c r="AD42" s="32"/>
      <c r="AE42" s="32">
        <v>73.7</v>
      </c>
      <c r="AF42" s="32"/>
      <c r="AG42" s="32">
        <f t="shared" si="28"/>
        <v>224.2</v>
      </c>
      <c r="AH42" s="32">
        <f t="shared" si="29"/>
        <v>239.7</v>
      </c>
      <c r="AI42" s="32">
        <f t="shared" si="30"/>
        <v>249.7</v>
      </c>
      <c r="AJ42" s="26"/>
      <c r="AK42" s="33">
        <v>200000</v>
      </c>
      <c r="AL42" s="26"/>
      <c r="AM42" s="33">
        <v>220000</v>
      </c>
      <c r="AN42" s="26"/>
      <c r="AO42" s="33">
        <v>220000</v>
      </c>
      <c r="AP42" s="67">
        <f t="shared" si="31"/>
        <v>200000</v>
      </c>
      <c r="AQ42" s="34">
        <f t="shared" si="32"/>
        <v>110.00000000000001</v>
      </c>
      <c r="AR42" s="67">
        <f t="shared" si="33"/>
        <v>220000</v>
      </c>
      <c r="AS42" s="34">
        <f t="shared" si="34"/>
        <v>100</v>
      </c>
      <c r="AT42" s="28">
        <f t="shared" si="35"/>
        <v>166</v>
      </c>
      <c r="AU42" s="28">
        <f t="shared" si="36"/>
        <v>73.7</v>
      </c>
      <c r="AV42" s="28">
        <f t="shared" si="37"/>
        <v>239.7</v>
      </c>
      <c r="AW42" s="24">
        <f t="shared" si="38"/>
        <v>10</v>
      </c>
      <c r="AX42" s="24">
        <f t="shared" si="39"/>
        <v>0</v>
      </c>
      <c r="AY42" s="24">
        <f t="shared" si="40"/>
        <v>10</v>
      </c>
      <c r="AZ42" s="156">
        <f t="shared" si="41"/>
        <v>52272</v>
      </c>
      <c r="BA42" s="35">
        <f t="shared" si="42"/>
        <v>0.2376</v>
      </c>
      <c r="BB42" s="35">
        <f t="shared" si="43"/>
        <v>41.817600000000006</v>
      </c>
      <c r="BC42" s="36">
        <f t="shared" si="44"/>
        <v>17.511120000000002</v>
      </c>
      <c r="BD42" s="36">
        <f t="shared" si="45"/>
        <v>59.328720000000004</v>
      </c>
      <c r="BE42" s="36" t="str">
        <f t="shared" si="46"/>
        <v>yes</v>
      </c>
      <c r="BF42" s="37">
        <f t="shared" si="47"/>
        <v>0.2376</v>
      </c>
      <c r="BG42" s="37">
        <f t="shared" si="48"/>
        <v>39.4416</v>
      </c>
      <c r="BH42" s="36">
        <f t="shared" si="49"/>
        <v>17.511120000000002</v>
      </c>
      <c r="BI42" s="38">
        <f t="shared" si="50"/>
        <v>56.95272</v>
      </c>
      <c r="BJ42" s="1" t="str">
        <f t="shared" si="51"/>
        <v>yes</v>
      </c>
      <c r="BK42" s="37">
        <f t="shared" si="52"/>
        <v>2.3760000000000048</v>
      </c>
      <c r="BL42" s="37">
        <f t="shared" si="53"/>
        <v>0</v>
      </c>
      <c r="BM42" s="7">
        <f t="shared" si="54"/>
        <v>2.3760000000000048</v>
      </c>
      <c r="BN42" s="7">
        <f t="shared" si="55"/>
        <v>0</v>
      </c>
    </row>
    <row r="43" spans="2:66" ht="18.75" customHeight="1">
      <c r="B43" s="4" t="s">
        <v>12</v>
      </c>
      <c r="C43" s="4" t="s">
        <v>25</v>
      </c>
      <c r="D43" s="157" t="s">
        <v>157</v>
      </c>
      <c r="E43" s="158" t="s">
        <v>27</v>
      </c>
      <c r="F43" s="79">
        <f t="shared" si="14"/>
        <v>52272</v>
      </c>
      <c r="G43" s="80">
        <f t="shared" si="15"/>
        <v>40</v>
      </c>
      <c r="H43" s="149">
        <f t="shared" si="16"/>
        <v>4</v>
      </c>
      <c r="I43" s="150">
        <f t="shared" si="17"/>
        <v>41.29488</v>
      </c>
      <c r="J43" s="83">
        <f t="shared" si="18"/>
        <v>38.253600000000006</v>
      </c>
      <c r="K43" s="84">
        <f t="shared" si="19"/>
        <v>40.6296</v>
      </c>
      <c r="L43" s="151">
        <f t="shared" si="20"/>
        <v>38.253600000000006</v>
      </c>
      <c r="M43" s="152">
        <f t="shared" si="21"/>
        <v>40.6296</v>
      </c>
      <c r="N43" s="188">
        <f t="shared" si="22"/>
        <v>0.06211180124223592</v>
      </c>
      <c r="O43" s="153">
        <f t="shared" si="23"/>
        <v>0</v>
      </c>
      <c r="P43" s="154">
        <f t="shared" si="24"/>
        <v>0</v>
      </c>
      <c r="Q43" s="176">
        <f t="shared" si="25"/>
      </c>
      <c r="R43" s="100">
        <f t="shared" si="26"/>
        <v>2.3759999999999977</v>
      </c>
      <c r="S43" s="184">
        <f t="shared" si="27"/>
        <v>0.062111801242235955</v>
      </c>
      <c r="U43" s="208" t="s">
        <v>25</v>
      </c>
      <c r="V43" s="4" t="s">
        <v>12</v>
      </c>
      <c r="X43" s="32">
        <v>158</v>
      </c>
      <c r="Y43" s="32">
        <v>161</v>
      </c>
      <c r="Z43" s="32">
        <v>171</v>
      </c>
      <c r="AA43" s="32"/>
      <c r="AB43" s="32"/>
      <c r="AC43" s="32"/>
      <c r="AD43" s="32"/>
      <c r="AE43" s="32"/>
      <c r="AF43" s="32"/>
      <c r="AG43" s="32">
        <f t="shared" si="28"/>
        <v>158</v>
      </c>
      <c r="AH43" s="32">
        <f t="shared" si="29"/>
        <v>161</v>
      </c>
      <c r="AI43" s="32">
        <f t="shared" si="30"/>
        <v>171</v>
      </c>
      <c r="AJ43" s="26"/>
      <c r="AK43" s="33">
        <v>200000</v>
      </c>
      <c r="AL43" s="26"/>
      <c r="AM43" s="33">
        <v>220000</v>
      </c>
      <c r="AN43" s="26"/>
      <c r="AO43" s="33">
        <v>220000</v>
      </c>
      <c r="AP43" s="67">
        <f t="shared" si="31"/>
        <v>200000</v>
      </c>
      <c r="AQ43" s="34">
        <f t="shared" si="32"/>
        <v>110.00000000000001</v>
      </c>
      <c r="AR43" s="67">
        <f t="shared" si="33"/>
        <v>220000</v>
      </c>
      <c r="AS43" s="34">
        <f t="shared" si="34"/>
        <v>100</v>
      </c>
      <c r="AT43" s="28">
        <f t="shared" si="35"/>
        <v>161</v>
      </c>
      <c r="AU43" s="28">
        <f t="shared" si="36"/>
      </c>
      <c r="AV43" s="28">
        <f t="shared" si="37"/>
        <v>161</v>
      </c>
      <c r="AW43" s="24">
        <f t="shared" si="38"/>
        <v>10</v>
      </c>
      <c r="AX43" s="24">
        <f t="shared" si="39"/>
      </c>
      <c r="AY43" s="24">
        <f t="shared" si="40"/>
        <v>10</v>
      </c>
      <c r="AZ43" s="156">
        <f t="shared" si="41"/>
        <v>52272</v>
      </c>
      <c r="BA43" s="35">
        <f t="shared" si="42"/>
        <v>0.2376</v>
      </c>
      <c r="BB43" s="35">
        <f t="shared" si="43"/>
        <v>40.6296</v>
      </c>
      <c r="BC43" s="36">
        <f t="shared" si="44"/>
        <v>0</v>
      </c>
      <c r="BD43" s="36">
        <f t="shared" si="45"/>
        <v>40.6296</v>
      </c>
      <c r="BE43" s="36" t="str">
        <f t="shared" si="46"/>
        <v>yes</v>
      </c>
      <c r="BF43" s="37">
        <f t="shared" si="47"/>
        <v>0.2376</v>
      </c>
      <c r="BG43" s="37">
        <f t="shared" si="48"/>
        <v>38.253600000000006</v>
      </c>
      <c r="BH43" s="36">
        <f t="shared" si="49"/>
        <v>0</v>
      </c>
      <c r="BI43" s="38">
        <f t="shared" si="50"/>
        <v>38.253600000000006</v>
      </c>
      <c r="BJ43" s="1" t="str">
        <f t="shared" si="51"/>
        <v>yes</v>
      </c>
      <c r="BK43" s="37">
        <f t="shared" si="52"/>
        <v>2.3759999999999977</v>
      </c>
      <c r="BL43" s="37">
        <f t="shared" si="53"/>
      </c>
      <c r="BM43" s="7">
        <f t="shared" si="54"/>
        <v>2.3759999999999977</v>
      </c>
      <c r="BN43" s="7">
        <f t="shared" si="55"/>
        <v>0</v>
      </c>
    </row>
    <row r="44" spans="4:66" ht="18.75" customHeight="1">
      <c r="D44" s="157" t="s">
        <v>157</v>
      </c>
      <c r="E44" s="158" t="s">
        <v>101</v>
      </c>
      <c r="F44" s="79">
        <f t="shared" si="14"/>
        <v>52272</v>
      </c>
      <c r="G44" s="80">
        <f t="shared" si="15"/>
        <v>40</v>
      </c>
      <c r="H44" s="149">
        <f t="shared" si="16"/>
        <v>4</v>
      </c>
      <c r="I44" s="150">
        <f t="shared" si="17"/>
      </c>
      <c r="J44" s="83">
        <f t="shared" si="18"/>
        <v>55.76472000000001</v>
      </c>
      <c r="K44" s="84">
        <f t="shared" si="19"/>
        <v>58.14072</v>
      </c>
      <c r="L44" s="151">
        <f t="shared" si="20"/>
        <v>38.253600000000006</v>
      </c>
      <c r="M44" s="152">
        <f t="shared" si="21"/>
        <v>40.6296</v>
      </c>
      <c r="N44" s="188">
        <f t="shared" si="22"/>
        <v>0.06211180124223592</v>
      </c>
      <c r="O44" s="153">
        <f t="shared" si="23"/>
        <v>17.511120000000002</v>
      </c>
      <c r="P44" s="154">
        <f t="shared" si="24"/>
        <v>17.511120000000002</v>
      </c>
      <c r="Q44" s="176">
        <f t="shared" si="25"/>
        <v>0</v>
      </c>
      <c r="R44" s="100">
        <f t="shared" si="26"/>
        <v>2.3759999999999906</v>
      </c>
      <c r="S44" s="184">
        <f t="shared" si="27"/>
        <v>0.04260758414997852</v>
      </c>
      <c r="U44" s="208" t="s">
        <v>104</v>
      </c>
      <c r="V44" s="4" t="s">
        <v>12</v>
      </c>
      <c r="X44" s="32"/>
      <c r="Y44" s="32">
        <v>161</v>
      </c>
      <c r="Z44" s="32">
        <v>171</v>
      </c>
      <c r="AA44" s="32"/>
      <c r="AB44" s="32"/>
      <c r="AC44" s="32">
        <v>73.7</v>
      </c>
      <c r="AD44" s="32"/>
      <c r="AE44" s="32">
        <v>73.7</v>
      </c>
      <c r="AF44" s="32"/>
      <c r="AG44" s="32">
        <f t="shared" si="28"/>
        <v>0</v>
      </c>
      <c r="AH44" s="32">
        <f t="shared" si="29"/>
        <v>234.7</v>
      </c>
      <c r="AI44" s="32">
        <f t="shared" si="30"/>
        <v>244.7</v>
      </c>
      <c r="AJ44" s="26"/>
      <c r="AK44" s="33"/>
      <c r="AL44" s="26"/>
      <c r="AM44" s="33">
        <v>220000</v>
      </c>
      <c r="AN44" s="26"/>
      <c r="AO44" s="33">
        <v>220000</v>
      </c>
      <c r="AP44" s="67">
        <f t="shared" si="31"/>
        <v>0</v>
      </c>
      <c r="AQ44" s="34" t="str">
        <f t="shared" si="32"/>
        <v>Not Avail.</v>
      </c>
      <c r="AR44" s="67">
        <f t="shared" si="33"/>
        <v>220000</v>
      </c>
      <c r="AS44" s="34">
        <f t="shared" si="34"/>
        <v>100</v>
      </c>
      <c r="AT44" s="28">
        <f t="shared" si="35"/>
        <v>161</v>
      </c>
      <c r="AU44" s="28">
        <f t="shared" si="36"/>
        <v>73.7</v>
      </c>
      <c r="AV44" s="28">
        <f t="shared" si="37"/>
        <v>234.7</v>
      </c>
      <c r="AW44" s="24">
        <f t="shared" si="38"/>
        <v>10</v>
      </c>
      <c r="AX44" s="24">
        <f t="shared" si="39"/>
        <v>0</v>
      </c>
      <c r="AY44" s="24">
        <f t="shared" si="40"/>
        <v>10</v>
      </c>
      <c r="AZ44" s="156">
        <f t="shared" si="41"/>
        <v>52272</v>
      </c>
      <c r="BA44" s="35">
        <f t="shared" si="42"/>
        <v>0.2376</v>
      </c>
      <c r="BB44" s="35">
        <f t="shared" si="43"/>
        <v>40.6296</v>
      </c>
      <c r="BC44" s="36">
        <f t="shared" si="44"/>
        <v>17.511120000000002</v>
      </c>
      <c r="BD44" s="36">
        <f t="shared" si="45"/>
        <v>58.14072</v>
      </c>
      <c r="BE44" s="36" t="str">
        <f t="shared" si="46"/>
        <v>yes</v>
      </c>
      <c r="BF44" s="37">
        <f t="shared" si="47"/>
        <v>0.2376</v>
      </c>
      <c r="BG44" s="37">
        <f t="shared" si="48"/>
        <v>38.253600000000006</v>
      </c>
      <c r="BH44" s="36">
        <f t="shared" si="49"/>
        <v>17.511120000000002</v>
      </c>
      <c r="BI44" s="38">
        <f t="shared" si="50"/>
        <v>55.76472000000001</v>
      </c>
      <c r="BJ44" s="1" t="str">
        <f t="shared" si="51"/>
        <v>yes</v>
      </c>
      <c r="BK44" s="37">
        <f t="shared" si="52"/>
        <v>2.3759999999999977</v>
      </c>
      <c r="BL44" s="37">
        <f t="shared" si="53"/>
        <v>0</v>
      </c>
      <c r="BM44" s="7">
        <f t="shared" si="54"/>
        <v>2.3759999999999906</v>
      </c>
      <c r="BN44" s="7">
        <f t="shared" si="55"/>
        <v>0</v>
      </c>
    </row>
    <row r="45" spans="3:66" ht="18.75" customHeight="1">
      <c r="C45" s="29"/>
      <c r="D45" s="157" t="s">
        <v>157</v>
      </c>
      <c r="E45" s="158" t="s">
        <v>102</v>
      </c>
      <c r="F45" s="79">
        <f t="shared" si="14"/>
        <v>52272</v>
      </c>
      <c r="G45" s="80">
        <f t="shared" si="15"/>
        <v>40</v>
      </c>
      <c r="H45" s="149">
        <f t="shared" si="16"/>
        <v>4</v>
      </c>
      <c r="I45" s="150">
        <f t="shared" si="17"/>
      </c>
      <c r="J45" s="83">
        <f t="shared" si="18"/>
        <v>0</v>
      </c>
      <c r="K45" s="84">
        <f t="shared" si="19"/>
        <v>62.013600000000004</v>
      </c>
      <c r="L45" s="151">
        <f t="shared" si="20"/>
      </c>
      <c r="M45" s="152">
        <f t="shared" si="21"/>
        <v>62.013600000000004</v>
      </c>
      <c r="N45" s="188" t="str">
        <f t="shared" si="22"/>
        <v>New</v>
      </c>
      <c r="O45" s="153">
        <f t="shared" si="23"/>
      </c>
      <c r="P45" s="154">
        <f t="shared" si="24"/>
        <v>0</v>
      </c>
      <c r="Q45" s="176" t="str">
        <f t="shared" si="25"/>
        <v>New</v>
      </c>
      <c r="R45" s="100" t="str">
        <f t="shared" si="26"/>
        <v>New</v>
      </c>
      <c r="S45" s="184">
        <f t="shared" si="27"/>
      </c>
      <c r="U45" s="207" t="s">
        <v>206</v>
      </c>
      <c r="V45" s="4" t="s">
        <v>12</v>
      </c>
      <c r="X45" s="39"/>
      <c r="Y45" s="39"/>
      <c r="Z45" s="39">
        <v>261</v>
      </c>
      <c r="AA45" s="39"/>
      <c r="AB45" s="39"/>
      <c r="AC45" s="39"/>
      <c r="AD45" s="39"/>
      <c r="AE45" s="39"/>
      <c r="AF45" s="39"/>
      <c r="AG45" s="32">
        <f t="shared" si="28"/>
        <v>0</v>
      </c>
      <c r="AH45" s="32">
        <f t="shared" si="29"/>
        <v>0</v>
      </c>
      <c r="AI45" s="32">
        <f t="shared" si="30"/>
        <v>261</v>
      </c>
      <c r="AJ45" s="26"/>
      <c r="AK45" s="33"/>
      <c r="AL45" s="26"/>
      <c r="AM45" s="33">
        <v>220000</v>
      </c>
      <c r="AN45" s="26"/>
      <c r="AO45" s="33">
        <v>220000</v>
      </c>
      <c r="AP45" s="67">
        <f t="shared" si="31"/>
        <v>0</v>
      </c>
      <c r="AQ45" s="34" t="str">
        <f t="shared" si="32"/>
        <v>Not Avail.</v>
      </c>
      <c r="AR45" s="67">
        <f t="shared" si="33"/>
        <v>220000</v>
      </c>
      <c r="AS45" s="34">
        <f t="shared" si="34"/>
        <v>100</v>
      </c>
      <c r="AT45" s="28">
        <f t="shared" si="35"/>
      </c>
      <c r="AU45" s="28">
        <f t="shared" si="36"/>
      </c>
      <c r="AV45" s="28">
        <f t="shared" si="37"/>
      </c>
      <c r="AW45" s="24">
        <f t="shared" si="38"/>
      </c>
      <c r="AX45" s="24">
        <f t="shared" si="39"/>
      </c>
      <c r="AY45" s="24" t="str">
        <f t="shared" si="40"/>
        <v>New</v>
      </c>
      <c r="AZ45" s="156">
        <f t="shared" si="41"/>
        <v>52272</v>
      </c>
      <c r="BA45" s="35">
        <f t="shared" si="42"/>
        <v>0.2376</v>
      </c>
      <c r="BB45" s="35">
        <f t="shared" si="43"/>
        <v>62.013600000000004</v>
      </c>
      <c r="BC45" s="36">
        <f t="shared" si="44"/>
        <v>0</v>
      </c>
      <c r="BD45" s="36">
        <f t="shared" si="45"/>
        <v>62.013600000000004</v>
      </c>
      <c r="BE45" s="36" t="str">
        <f t="shared" si="46"/>
        <v>yes</v>
      </c>
      <c r="BF45" s="37">
        <f t="shared" si="47"/>
        <v>0.2376</v>
      </c>
      <c r="BG45" s="37">
        <f t="shared" si="48"/>
      </c>
      <c r="BH45" s="36">
        <f t="shared" si="49"/>
        <v>0</v>
      </c>
      <c r="BI45" s="38">
        <f t="shared" si="50"/>
        <v>0</v>
      </c>
      <c r="BJ45" s="1" t="str">
        <f t="shared" si="51"/>
        <v>yes</v>
      </c>
      <c r="BK45" s="37">
        <f t="shared" si="52"/>
      </c>
      <c r="BL45" s="37">
        <f t="shared" si="53"/>
      </c>
      <c r="BM45" s="7">
        <f t="shared" si="54"/>
      </c>
      <c r="BN45" s="7" t="e">
        <f t="shared" si="55"/>
        <v>#VALUE!</v>
      </c>
    </row>
    <row r="46" spans="3:66" ht="18.75" customHeight="1">
      <c r="C46" s="29"/>
      <c r="D46" s="157" t="s">
        <v>157</v>
      </c>
      <c r="E46" s="158" t="s">
        <v>103</v>
      </c>
      <c r="F46" s="79">
        <f t="shared" si="14"/>
        <v>52272</v>
      </c>
      <c r="G46" s="80">
        <f t="shared" si="15"/>
        <v>40</v>
      </c>
      <c r="H46" s="149">
        <f t="shared" si="16"/>
        <v>4</v>
      </c>
      <c r="I46" s="150">
        <f t="shared" si="17"/>
      </c>
      <c r="J46" s="83">
        <f t="shared" si="18"/>
        <v>0</v>
      </c>
      <c r="K46" s="84">
        <f t="shared" si="19"/>
        <v>62.013600000000004</v>
      </c>
      <c r="L46" s="151">
        <f t="shared" si="20"/>
      </c>
      <c r="M46" s="152">
        <f t="shared" si="21"/>
        <v>62.013600000000004</v>
      </c>
      <c r="N46" s="188" t="str">
        <f t="shared" si="22"/>
        <v>New</v>
      </c>
      <c r="O46" s="153">
        <f t="shared" si="23"/>
      </c>
      <c r="P46" s="154">
        <f t="shared" si="24"/>
        <v>0</v>
      </c>
      <c r="Q46" s="176" t="str">
        <f t="shared" si="25"/>
        <v>New</v>
      </c>
      <c r="R46" s="100" t="str">
        <f t="shared" si="26"/>
        <v>New</v>
      </c>
      <c r="S46" s="184">
        <f t="shared" si="27"/>
      </c>
      <c r="U46" s="207" t="s">
        <v>207</v>
      </c>
      <c r="V46" s="4" t="s">
        <v>12</v>
      </c>
      <c r="X46" s="39"/>
      <c r="Y46" s="39"/>
      <c r="Z46" s="39">
        <v>261</v>
      </c>
      <c r="AA46" s="39"/>
      <c r="AB46" s="39"/>
      <c r="AC46" s="39"/>
      <c r="AD46" s="39"/>
      <c r="AE46" s="39"/>
      <c r="AF46" s="39"/>
      <c r="AG46" s="32">
        <f t="shared" si="28"/>
        <v>0</v>
      </c>
      <c r="AH46" s="32">
        <f t="shared" si="29"/>
        <v>0</v>
      </c>
      <c r="AI46" s="32">
        <f t="shared" si="30"/>
        <v>261</v>
      </c>
      <c r="AJ46" s="26"/>
      <c r="AK46" s="33"/>
      <c r="AL46" s="26"/>
      <c r="AM46" s="33">
        <v>220000</v>
      </c>
      <c r="AN46" s="26"/>
      <c r="AO46" s="33">
        <v>220000</v>
      </c>
      <c r="AP46" s="67">
        <f t="shared" si="31"/>
        <v>0</v>
      </c>
      <c r="AQ46" s="34" t="str">
        <f t="shared" si="32"/>
        <v>Not Avail.</v>
      </c>
      <c r="AR46" s="67">
        <f t="shared" si="33"/>
        <v>220000</v>
      </c>
      <c r="AS46" s="34">
        <f t="shared" si="34"/>
        <v>100</v>
      </c>
      <c r="AT46" s="28">
        <f t="shared" si="35"/>
      </c>
      <c r="AU46" s="28">
        <f t="shared" si="36"/>
      </c>
      <c r="AV46" s="28">
        <f t="shared" si="37"/>
      </c>
      <c r="AW46" s="24">
        <f t="shared" si="38"/>
      </c>
      <c r="AX46" s="24">
        <f t="shared" si="39"/>
      </c>
      <c r="AY46" s="24" t="str">
        <f t="shared" si="40"/>
        <v>New</v>
      </c>
      <c r="AZ46" s="156">
        <f t="shared" si="41"/>
        <v>52272</v>
      </c>
      <c r="BA46" s="35">
        <f t="shared" si="42"/>
        <v>0.2376</v>
      </c>
      <c r="BB46" s="35">
        <f t="shared" si="43"/>
        <v>62.013600000000004</v>
      </c>
      <c r="BC46" s="36">
        <f t="shared" si="44"/>
        <v>0</v>
      </c>
      <c r="BD46" s="36">
        <f t="shared" si="45"/>
        <v>62.013600000000004</v>
      </c>
      <c r="BE46" s="36" t="str">
        <f t="shared" si="46"/>
        <v>yes</v>
      </c>
      <c r="BF46" s="37">
        <f t="shared" si="47"/>
        <v>0.2376</v>
      </c>
      <c r="BG46" s="37">
        <f t="shared" si="48"/>
      </c>
      <c r="BH46" s="36">
        <f t="shared" si="49"/>
        <v>0</v>
      </c>
      <c r="BI46" s="38">
        <f t="shared" si="50"/>
        <v>0</v>
      </c>
      <c r="BJ46" s="1" t="str">
        <f t="shared" si="51"/>
        <v>yes</v>
      </c>
      <c r="BK46" s="37">
        <f t="shared" si="52"/>
      </c>
      <c r="BL46" s="37">
        <f t="shared" si="53"/>
      </c>
      <c r="BM46" s="7">
        <f t="shared" si="54"/>
      </c>
      <c r="BN46" s="7" t="e">
        <f t="shared" si="55"/>
        <v>#VALUE!</v>
      </c>
    </row>
    <row r="47" spans="4:70" ht="18.75" customHeight="1">
      <c r="D47" s="157" t="s">
        <v>157</v>
      </c>
      <c r="E47" s="158" t="s">
        <v>54</v>
      </c>
      <c r="F47" s="79">
        <f t="shared" si="14"/>
        <v>52272</v>
      </c>
      <c r="G47" s="80">
        <f t="shared" si="15"/>
        <v>40</v>
      </c>
      <c r="H47" s="149">
        <f t="shared" si="16"/>
        <v>4</v>
      </c>
      <c r="I47" s="150">
        <f t="shared" si="17"/>
        <v>0</v>
      </c>
      <c r="J47" s="83">
        <f t="shared" si="18"/>
        <v>0</v>
      </c>
      <c r="K47" s="84">
        <f t="shared" si="19"/>
        <v>64.3896</v>
      </c>
      <c r="L47" s="151">
        <f t="shared" si="20"/>
      </c>
      <c r="M47" s="152">
        <f t="shared" si="21"/>
        <v>64.3896</v>
      </c>
      <c r="N47" s="188" t="str">
        <f t="shared" si="22"/>
        <v>New</v>
      </c>
      <c r="O47" s="153">
        <f t="shared" si="23"/>
      </c>
      <c r="P47" s="154">
        <f t="shared" si="24"/>
        <v>0</v>
      </c>
      <c r="Q47" s="176" t="str">
        <f t="shared" si="25"/>
        <v>New</v>
      </c>
      <c r="R47" s="100" t="str">
        <f t="shared" si="26"/>
        <v>New</v>
      </c>
      <c r="S47" s="184">
        <f t="shared" si="27"/>
      </c>
      <c r="U47" s="208" t="s">
        <v>205</v>
      </c>
      <c r="V47" s="4" t="s">
        <v>12</v>
      </c>
      <c r="X47" s="155"/>
      <c r="Y47" s="155"/>
      <c r="Z47" s="155">
        <v>271</v>
      </c>
      <c r="AA47" s="155"/>
      <c r="AB47" s="155"/>
      <c r="AC47" s="155"/>
      <c r="AD47" s="155"/>
      <c r="AE47" s="155"/>
      <c r="AF47" s="155"/>
      <c r="AG47" s="32">
        <f t="shared" si="28"/>
        <v>0</v>
      </c>
      <c r="AH47" s="32">
        <f t="shared" si="29"/>
        <v>0</v>
      </c>
      <c r="AI47" s="32">
        <f t="shared" si="30"/>
        <v>271</v>
      </c>
      <c r="AJ47" s="26"/>
      <c r="AK47" s="33">
        <v>200000</v>
      </c>
      <c r="AL47" s="26"/>
      <c r="AM47" s="33">
        <v>220000</v>
      </c>
      <c r="AN47" s="26"/>
      <c r="AO47" s="33">
        <v>220000</v>
      </c>
      <c r="AP47" s="67">
        <f t="shared" si="31"/>
        <v>200000</v>
      </c>
      <c r="AQ47" s="34">
        <f t="shared" si="32"/>
        <v>110.00000000000001</v>
      </c>
      <c r="AR47" s="67">
        <f t="shared" si="33"/>
        <v>220000</v>
      </c>
      <c r="AS47" s="34">
        <f t="shared" si="34"/>
        <v>100</v>
      </c>
      <c r="AT47" s="28">
        <f t="shared" si="35"/>
      </c>
      <c r="AU47" s="28">
        <f t="shared" si="36"/>
      </c>
      <c r="AV47" s="28">
        <f t="shared" si="37"/>
      </c>
      <c r="AW47" s="24">
        <f t="shared" si="38"/>
      </c>
      <c r="AX47" s="24">
        <f t="shared" si="39"/>
      </c>
      <c r="AY47" s="24" t="str">
        <f t="shared" si="40"/>
        <v>New</v>
      </c>
      <c r="AZ47" s="156">
        <f t="shared" si="41"/>
        <v>52272</v>
      </c>
      <c r="BA47" s="35">
        <f t="shared" si="42"/>
        <v>0.2376</v>
      </c>
      <c r="BB47" s="35">
        <f t="shared" si="43"/>
        <v>64.3896</v>
      </c>
      <c r="BC47" s="36">
        <f t="shared" si="44"/>
        <v>0</v>
      </c>
      <c r="BD47" s="36">
        <f t="shared" si="45"/>
        <v>64.3896</v>
      </c>
      <c r="BE47" s="36" t="str">
        <f t="shared" si="46"/>
        <v>yes</v>
      </c>
      <c r="BF47" s="37">
        <f t="shared" si="47"/>
        <v>0.2376</v>
      </c>
      <c r="BG47" s="37">
        <f t="shared" si="48"/>
      </c>
      <c r="BH47" s="36">
        <f t="shared" si="49"/>
        <v>0</v>
      </c>
      <c r="BI47" s="38">
        <f t="shared" si="50"/>
        <v>0</v>
      </c>
      <c r="BJ47" s="1" t="str">
        <f t="shared" si="51"/>
        <v>yes</v>
      </c>
      <c r="BK47" s="37">
        <f t="shared" si="52"/>
      </c>
      <c r="BL47" s="37">
        <f t="shared" si="53"/>
      </c>
      <c r="BM47" s="7">
        <f t="shared" si="54"/>
      </c>
      <c r="BN47" s="7" t="e">
        <f t="shared" si="55"/>
        <v>#VALUE!</v>
      </c>
      <c r="BO47" s="7"/>
      <c r="BP47" s="7"/>
      <c r="BR47" s="7"/>
    </row>
    <row r="48" spans="2:66" ht="18.75" customHeight="1">
      <c r="B48" s="4" t="s">
        <v>12</v>
      </c>
      <c r="C48" s="4" t="s">
        <v>130</v>
      </c>
      <c r="D48" s="157" t="s">
        <v>70</v>
      </c>
      <c r="E48" s="158" t="s">
        <v>127</v>
      </c>
      <c r="F48" s="79">
        <f t="shared" si="14"/>
        <v>52272</v>
      </c>
      <c r="G48" s="80">
        <f t="shared" si="15"/>
        <v>40</v>
      </c>
      <c r="H48" s="149">
        <f t="shared" si="16"/>
        <v>4</v>
      </c>
      <c r="I48" s="150">
        <f t="shared" si="17"/>
        <v>58.596911999999996</v>
      </c>
      <c r="J48" s="83">
        <f t="shared" si="18"/>
        <v>55.76472000000001</v>
      </c>
      <c r="K48" s="84">
        <f t="shared" si="19"/>
        <v>58.14072</v>
      </c>
      <c r="L48" s="151">
        <f t="shared" si="20"/>
        <v>38.253600000000006</v>
      </c>
      <c r="M48" s="152">
        <f t="shared" si="21"/>
        <v>40.6296</v>
      </c>
      <c r="N48" s="188">
        <f t="shared" si="22"/>
        <v>0.06211180124223592</v>
      </c>
      <c r="O48" s="153">
        <f t="shared" si="23"/>
        <v>17.511120000000002</v>
      </c>
      <c r="P48" s="154">
        <f t="shared" si="24"/>
        <v>17.511120000000002</v>
      </c>
      <c r="Q48" s="176">
        <f t="shared" si="25"/>
        <v>0</v>
      </c>
      <c r="R48" s="100">
        <f t="shared" si="26"/>
        <v>2.3759999999999906</v>
      </c>
      <c r="S48" s="184">
        <f t="shared" si="27"/>
        <v>0.04260758414997852</v>
      </c>
      <c r="U48" s="208" t="s">
        <v>130</v>
      </c>
      <c r="V48" s="4" t="s">
        <v>12</v>
      </c>
      <c r="X48" s="32">
        <v>158</v>
      </c>
      <c r="Y48" s="32">
        <v>161</v>
      </c>
      <c r="Z48" s="32">
        <v>171</v>
      </c>
      <c r="AA48" s="32">
        <v>66.2</v>
      </c>
      <c r="AB48" s="32"/>
      <c r="AC48" s="32">
        <v>73.7</v>
      </c>
      <c r="AD48" s="32"/>
      <c r="AE48" s="32">
        <v>73.7</v>
      </c>
      <c r="AF48" s="32"/>
      <c r="AG48" s="32">
        <f t="shared" si="28"/>
        <v>224.2</v>
      </c>
      <c r="AH48" s="32">
        <f t="shared" si="29"/>
        <v>234.7</v>
      </c>
      <c r="AI48" s="32">
        <f t="shared" si="30"/>
        <v>244.7</v>
      </c>
      <c r="AJ48" s="26"/>
      <c r="AK48" s="33">
        <v>200000</v>
      </c>
      <c r="AL48" s="26"/>
      <c r="AM48" s="33">
        <v>220000</v>
      </c>
      <c r="AN48" s="26"/>
      <c r="AO48" s="33">
        <v>220000</v>
      </c>
      <c r="AP48" s="67">
        <f t="shared" si="31"/>
        <v>200000</v>
      </c>
      <c r="AQ48" s="34">
        <f t="shared" si="32"/>
        <v>110.00000000000001</v>
      </c>
      <c r="AR48" s="67">
        <f t="shared" si="33"/>
        <v>220000</v>
      </c>
      <c r="AS48" s="34">
        <f t="shared" si="34"/>
        <v>100</v>
      </c>
      <c r="AT48" s="28">
        <f t="shared" si="35"/>
        <v>161</v>
      </c>
      <c r="AU48" s="28">
        <f t="shared" si="36"/>
        <v>73.7</v>
      </c>
      <c r="AV48" s="28">
        <f t="shared" si="37"/>
        <v>234.7</v>
      </c>
      <c r="AW48" s="24">
        <f t="shared" si="38"/>
        <v>10</v>
      </c>
      <c r="AX48" s="24">
        <f t="shared" si="39"/>
        <v>0</v>
      </c>
      <c r="AY48" s="24">
        <f t="shared" si="40"/>
        <v>10</v>
      </c>
      <c r="AZ48" s="156">
        <f t="shared" si="41"/>
        <v>52272</v>
      </c>
      <c r="BA48" s="35">
        <f t="shared" si="42"/>
        <v>0.2376</v>
      </c>
      <c r="BB48" s="35">
        <f t="shared" si="43"/>
        <v>40.6296</v>
      </c>
      <c r="BC48" s="36">
        <f t="shared" si="44"/>
        <v>17.511120000000002</v>
      </c>
      <c r="BD48" s="36">
        <f t="shared" si="45"/>
        <v>58.14072</v>
      </c>
      <c r="BE48" s="36" t="str">
        <f t="shared" si="46"/>
        <v>yes</v>
      </c>
      <c r="BF48" s="37">
        <f t="shared" si="47"/>
        <v>0.2376</v>
      </c>
      <c r="BG48" s="37">
        <f t="shared" si="48"/>
        <v>38.253600000000006</v>
      </c>
      <c r="BH48" s="36">
        <f t="shared" si="49"/>
        <v>17.511120000000002</v>
      </c>
      <c r="BI48" s="38">
        <f t="shared" si="50"/>
        <v>55.76472000000001</v>
      </c>
      <c r="BJ48" s="1" t="str">
        <f t="shared" si="51"/>
        <v>yes</v>
      </c>
      <c r="BK48" s="37">
        <f t="shared" si="52"/>
        <v>2.3759999999999977</v>
      </c>
      <c r="BL48" s="37">
        <f t="shared" si="53"/>
        <v>0</v>
      </c>
      <c r="BM48" s="7">
        <f t="shared" si="54"/>
        <v>2.3759999999999906</v>
      </c>
      <c r="BN48" s="7">
        <f t="shared" si="55"/>
        <v>0</v>
      </c>
    </row>
    <row r="49" spans="2:66" ht="18.75" customHeight="1">
      <c r="B49" s="4" t="s">
        <v>12</v>
      </c>
      <c r="C49" s="4" t="s">
        <v>25</v>
      </c>
      <c r="D49" s="157" t="s">
        <v>157</v>
      </c>
      <c r="E49" s="158" t="s">
        <v>150</v>
      </c>
      <c r="F49" s="79">
        <f t="shared" si="14"/>
        <v>52272</v>
      </c>
      <c r="G49" s="80">
        <f t="shared" si="15"/>
        <v>40</v>
      </c>
      <c r="H49" s="149">
        <f t="shared" si="16"/>
        <v>4</v>
      </c>
      <c r="I49" s="150">
        <f t="shared" si="17"/>
        <v>41.29488</v>
      </c>
      <c r="J49" s="83">
        <f t="shared" si="18"/>
        <v>38.253600000000006</v>
      </c>
      <c r="K49" s="84">
        <f t="shared" si="19"/>
        <v>40.6296</v>
      </c>
      <c r="L49" s="151">
        <f t="shared" si="20"/>
        <v>38.253600000000006</v>
      </c>
      <c r="M49" s="152">
        <f t="shared" si="21"/>
        <v>40.6296</v>
      </c>
      <c r="N49" s="188">
        <f t="shared" si="22"/>
        <v>0.06211180124223592</v>
      </c>
      <c r="O49" s="153">
        <f t="shared" si="23"/>
        <v>0</v>
      </c>
      <c r="P49" s="154">
        <f t="shared" si="24"/>
        <v>0</v>
      </c>
      <c r="Q49" s="176">
        <f t="shared" si="25"/>
      </c>
      <c r="R49" s="100">
        <f t="shared" si="26"/>
        <v>2.3759999999999977</v>
      </c>
      <c r="S49" s="184">
        <f t="shared" si="27"/>
        <v>0.062111801242235955</v>
      </c>
      <c r="U49" s="208" t="s">
        <v>25</v>
      </c>
      <c r="V49" s="4" t="s">
        <v>12</v>
      </c>
      <c r="X49" s="32">
        <v>158</v>
      </c>
      <c r="Y49" s="32">
        <v>161</v>
      </c>
      <c r="Z49" s="32">
        <v>171</v>
      </c>
      <c r="AA49" s="32"/>
      <c r="AB49" s="32"/>
      <c r="AC49" s="32"/>
      <c r="AD49" s="32"/>
      <c r="AE49" s="32"/>
      <c r="AF49" s="32"/>
      <c r="AG49" s="32">
        <f t="shared" si="28"/>
        <v>158</v>
      </c>
      <c r="AH49" s="32">
        <f t="shared" si="29"/>
        <v>161</v>
      </c>
      <c r="AI49" s="32">
        <f t="shared" si="30"/>
        <v>171</v>
      </c>
      <c r="AJ49" s="26"/>
      <c r="AK49" s="33">
        <v>200000</v>
      </c>
      <c r="AL49" s="26"/>
      <c r="AM49" s="33">
        <v>220000</v>
      </c>
      <c r="AN49" s="26"/>
      <c r="AO49" s="33">
        <v>220000</v>
      </c>
      <c r="AP49" s="67">
        <f t="shared" si="31"/>
        <v>200000</v>
      </c>
      <c r="AQ49" s="34">
        <f t="shared" si="32"/>
        <v>110.00000000000001</v>
      </c>
      <c r="AR49" s="67">
        <f t="shared" si="33"/>
        <v>220000</v>
      </c>
      <c r="AS49" s="34">
        <f t="shared" si="34"/>
        <v>100</v>
      </c>
      <c r="AT49" s="28">
        <f t="shared" si="35"/>
        <v>161</v>
      </c>
      <c r="AU49" s="28">
        <f t="shared" si="36"/>
      </c>
      <c r="AV49" s="28">
        <f t="shared" si="37"/>
        <v>161</v>
      </c>
      <c r="AW49" s="24">
        <f t="shared" si="38"/>
        <v>10</v>
      </c>
      <c r="AX49" s="24">
        <f t="shared" si="39"/>
      </c>
      <c r="AY49" s="24">
        <f t="shared" si="40"/>
        <v>10</v>
      </c>
      <c r="AZ49" s="156">
        <f t="shared" si="41"/>
        <v>52272</v>
      </c>
      <c r="BA49" s="35">
        <f t="shared" si="42"/>
        <v>0.2376</v>
      </c>
      <c r="BB49" s="35">
        <f t="shared" si="43"/>
        <v>40.6296</v>
      </c>
      <c r="BC49" s="36">
        <f t="shared" si="44"/>
        <v>0</v>
      </c>
      <c r="BD49" s="36">
        <f t="shared" si="45"/>
        <v>40.6296</v>
      </c>
      <c r="BE49" s="36" t="str">
        <f t="shared" si="46"/>
        <v>yes</v>
      </c>
      <c r="BF49" s="37">
        <f t="shared" si="47"/>
        <v>0.2376</v>
      </c>
      <c r="BG49" s="37">
        <f t="shared" si="48"/>
        <v>38.253600000000006</v>
      </c>
      <c r="BH49" s="36">
        <f t="shared" si="49"/>
        <v>0</v>
      </c>
      <c r="BI49" s="38">
        <f t="shared" si="50"/>
        <v>38.253600000000006</v>
      </c>
      <c r="BJ49" s="1" t="str">
        <f t="shared" si="51"/>
        <v>yes</v>
      </c>
      <c r="BK49" s="37">
        <f t="shared" si="52"/>
        <v>2.3759999999999977</v>
      </c>
      <c r="BL49" s="37">
        <f t="shared" si="53"/>
      </c>
      <c r="BM49" s="7">
        <f t="shared" si="54"/>
        <v>2.3759999999999977</v>
      </c>
      <c r="BN49" s="7">
        <f t="shared" si="55"/>
        <v>0</v>
      </c>
    </row>
    <row r="50" spans="2:66" ht="18.75" customHeight="1">
      <c r="B50" s="4" t="s">
        <v>12</v>
      </c>
      <c r="C50" s="4" t="s">
        <v>25</v>
      </c>
      <c r="D50" s="205" t="s">
        <v>70</v>
      </c>
      <c r="E50" s="192" t="s">
        <v>136</v>
      </c>
      <c r="F50" s="79">
        <f t="shared" si="14"/>
        <v>52272</v>
      </c>
      <c r="G50" s="80">
        <f t="shared" si="15"/>
        <v>40</v>
      </c>
      <c r="H50" s="149">
        <f t="shared" si="16"/>
        <v>4</v>
      </c>
      <c r="I50" s="150">
        <f t="shared" si="17"/>
        <v>41.29488</v>
      </c>
      <c r="J50" s="83">
        <f t="shared" si="18"/>
        <v>38.253600000000006</v>
      </c>
      <c r="K50" s="84">
        <f t="shared" si="19"/>
        <v>40.6296</v>
      </c>
      <c r="L50" s="151">
        <f t="shared" si="20"/>
        <v>38.253600000000006</v>
      </c>
      <c r="M50" s="152">
        <f t="shared" si="21"/>
        <v>40.6296</v>
      </c>
      <c r="N50" s="188">
        <f t="shared" si="22"/>
        <v>0.06211180124223592</v>
      </c>
      <c r="O50" s="153">
        <f t="shared" si="23"/>
        <v>0</v>
      </c>
      <c r="P50" s="154">
        <f t="shared" si="24"/>
        <v>0</v>
      </c>
      <c r="Q50" s="176">
        <f t="shared" si="25"/>
      </c>
      <c r="R50" s="100">
        <f t="shared" si="26"/>
        <v>2.3759999999999977</v>
      </c>
      <c r="S50" s="184">
        <f t="shared" si="27"/>
        <v>0.062111801242235955</v>
      </c>
      <c r="U50" s="208" t="s">
        <v>25</v>
      </c>
      <c r="V50" s="4" t="s">
        <v>12</v>
      </c>
      <c r="X50" s="32">
        <v>158</v>
      </c>
      <c r="Y50" s="32">
        <v>161</v>
      </c>
      <c r="Z50" s="32">
        <v>171</v>
      </c>
      <c r="AA50" s="32"/>
      <c r="AB50" s="32"/>
      <c r="AC50" s="32"/>
      <c r="AD50" s="32"/>
      <c r="AE50" s="32"/>
      <c r="AF50" s="32"/>
      <c r="AG50" s="32">
        <f t="shared" si="28"/>
        <v>158</v>
      </c>
      <c r="AH50" s="32">
        <f t="shared" si="29"/>
        <v>161</v>
      </c>
      <c r="AI50" s="32">
        <f t="shared" si="30"/>
        <v>171</v>
      </c>
      <c r="AJ50" s="26"/>
      <c r="AK50" s="33">
        <v>200000</v>
      </c>
      <c r="AL50" s="26"/>
      <c r="AM50" s="33">
        <v>220000</v>
      </c>
      <c r="AN50" s="26"/>
      <c r="AO50" s="33">
        <v>220000</v>
      </c>
      <c r="AP50" s="67">
        <f t="shared" si="31"/>
        <v>200000</v>
      </c>
      <c r="AQ50" s="34">
        <f t="shared" si="32"/>
        <v>110.00000000000001</v>
      </c>
      <c r="AR50" s="67">
        <f t="shared" si="33"/>
        <v>220000</v>
      </c>
      <c r="AS50" s="34">
        <f t="shared" si="34"/>
        <v>100</v>
      </c>
      <c r="AT50" s="28">
        <f t="shared" si="35"/>
        <v>161</v>
      </c>
      <c r="AU50" s="28">
        <f t="shared" si="36"/>
      </c>
      <c r="AV50" s="28">
        <f t="shared" si="37"/>
        <v>161</v>
      </c>
      <c r="AW50" s="24">
        <f t="shared" si="38"/>
        <v>10</v>
      </c>
      <c r="AX50" s="24">
        <f t="shared" si="39"/>
      </c>
      <c r="AY50" s="24">
        <f t="shared" si="40"/>
        <v>10</v>
      </c>
      <c r="AZ50" s="156">
        <f t="shared" si="41"/>
        <v>52272</v>
      </c>
      <c r="BA50" s="35">
        <f t="shared" si="42"/>
        <v>0.2376</v>
      </c>
      <c r="BB50" s="35">
        <f t="shared" si="43"/>
        <v>40.6296</v>
      </c>
      <c r="BC50" s="36">
        <f t="shared" si="44"/>
        <v>0</v>
      </c>
      <c r="BD50" s="36">
        <f t="shared" si="45"/>
        <v>40.6296</v>
      </c>
      <c r="BE50" s="36" t="str">
        <f t="shared" si="46"/>
        <v>yes</v>
      </c>
      <c r="BF50" s="37">
        <f t="shared" si="47"/>
        <v>0.2376</v>
      </c>
      <c r="BG50" s="37">
        <f t="shared" si="48"/>
        <v>38.253600000000006</v>
      </c>
      <c r="BH50" s="36">
        <f t="shared" si="49"/>
        <v>0</v>
      </c>
      <c r="BI50" s="38">
        <f t="shared" si="50"/>
        <v>38.253600000000006</v>
      </c>
      <c r="BJ50" s="1" t="str">
        <f t="shared" si="51"/>
        <v>yes</v>
      </c>
      <c r="BK50" s="37">
        <f t="shared" si="52"/>
        <v>2.3759999999999977</v>
      </c>
      <c r="BL50" s="37">
        <f t="shared" si="53"/>
      </c>
      <c r="BM50" s="7">
        <f t="shared" si="54"/>
        <v>2.3759999999999977</v>
      </c>
      <c r="BN50" s="7">
        <f t="shared" si="55"/>
        <v>0</v>
      </c>
    </row>
    <row r="51" spans="2:66" ht="18.75" customHeight="1">
      <c r="B51" s="4" t="s">
        <v>12</v>
      </c>
      <c r="C51" s="4" t="s">
        <v>130</v>
      </c>
      <c r="D51" s="157" t="s">
        <v>70</v>
      </c>
      <c r="E51" s="158" t="s">
        <v>128</v>
      </c>
      <c r="F51" s="79">
        <f t="shared" si="14"/>
        <v>52272</v>
      </c>
      <c r="G51" s="80">
        <f t="shared" si="15"/>
        <v>40</v>
      </c>
      <c r="H51" s="149">
        <f t="shared" si="16"/>
        <v>4</v>
      </c>
      <c r="I51" s="150">
        <f t="shared" si="17"/>
        <v>58.596911999999996</v>
      </c>
      <c r="J51" s="83">
        <f t="shared" si="18"/>
        <v>55.76472000000001</v>
      </c>
      <c r="K51" s="84">
        <f t="shared" si="19"/>
        <v>58.14072</v>
      </c>
      <c r="L51" s="151">
        <f t="shared" si="20"/>
        <v>38.253600000000006</v>
      </c>
      <c r="M51" s="152">
        <f t="shared" si="21"/>
        <v>40.6296</v>
      </c>
      <c r="N51" s="188">
        <f t="shared" si="22"/>
        <v>0.06211180124223592</v>
      </c>
      <c r="O51" s="153">
        <f t="shared" si="23"/>
        <v>17.511120000000002</v>
      </c>
      <c r="P51" s="154">
        <f t="shared" si="24"/>
        <v>17.511120000000002</v>
      </c>
      <c r="Q51" s="176">
        <f t="shared" si="25"/>
        <v>0</v>
      </c>
      <c r="R51" s="100">
        <f t="shared" si="26"/>
        <v>2.3759999999999906</v>
      </c>
      <c r="S51" s="184">
        <f t="shared" si="27"/>
        <v>0.04260758414997852</v>
      </c>
      <c r="U51" s="208" t="s">
        <v>130</v>
      </c>
      <c r="V51" s="4" t="s">
        <v>12</v>
      </c>
      <c r="X51" s="32">
        <v>158</v>
      </c>
      <c r="Y51" s="32">
        <v>161</v>
      </c>
      <c r="Z51" s="32">
        <v>171</v>
      </c>
      <c r="AA51" s="32">
        <v>66.2</v>
      </c>
      <c r="AB51" s="32"/>
      <c r="AC51" s="32">
        <v>73.7</v>
      </c>
      <c r="AD51" s="32"/>
      <c r="AE51" s="32">
        <v>73.7</v>
      </c>
      <c r="AF51" s="32"/>
      <c r="AG51" s="32">
        <f t="shared" si="28"/>
        <v>224.2</v>
      </c>
      <c r="AH51" s="32">
        <f t="shared" si="29"/>
        <v>234.7</v>
      </c>
      <c r="AI51" s="32">
        <f t="shared" si="30"/>
        <v>244.7</v>
      </c>
      <c r="AJ51" s="26"/>
      <c r="AK51" s="33">
        <v>200000</v>
      </c>
      <c r="AL51" s="26"/>
      <c r="AM51" s="33">
        <v>220000</v>
      </c>
      <c r="AN51" s="26"/>
      <c r="AO51" s="33">
        <v>220000</v>
      </c>
      <c r="AP51" s="67">
        <f t="shared" si="31"/>
        <v>200000</v>
      </c>
      <c r="AQ51" s="34">
        <f t="shared" si="32"/>
        <v>110.00000000000001</v>
      </c>
      <c r="AR51" s="67">
        <f t="shared" si="33"/>
        <v>220000</v>
      </c>
      <c r="AS51" s="34">
        <f t="shared" si="34"/>
        <v>100</v>
      </c>
      <c r="AT51" s="28">
        <f t="shared" si="35"/>
        <v>161</v>
      </c>
      <c r="AU51" s="28">
        <f t="shared" si="36"/>
        <v>73.7</v>
      </c>
      <c r="AV51" s="28">
        <f t="shared" si="37"/>
        <v>234.7</v>
      </c>
      <c r="AW51" s="24">
        <f t="shared" si="38"/>
        <v>10</v>
      </c>
      <c r="AX51" s="24">
        <f t="shared" si="39"/>
        <v>0</v>
      </c>
      <c r="AY51" s="24">
        <f t="shared" si="40"/>
        <v>10</v>
      </c>
      <c r="AZ51" s="156">
        <f t="shared" si="41"/>
        <v>52272</v>
      </c>
      <c r="BA51" s="35">
        <f t="shared" si="42"/>
        <v>0.2376</v>
      </c>
      <c r="BB51" s="35">
        <f t="shared" si="43"/>
        <v>40.6296</v>
      </c>
      <c r="BC51" s="36">
        <f t="shared" si="44"/>
        <v>17.511120000000002</v>
      </c>
      <c r="BD51" s="36">
        <f t="shared" si="45"/>
        <v>58.14072</v>
      </c>
      <c r="BE51" s="36" t="str">
        <f t="shared" si="46"/>
        <v>yes</v>
      </c>
      <c r="BF51" s="37">
        <f t="shared" si="47"/>
        <v>0.2376</v>
      </c>
      <c r="BG51" s="37">
        <f t="shared" si="48"/>
        <v>38.253600000000006</v>
      </c>
      <c r="BH51" s="36">
        <f t="shared" si="49"/>
        <v>17.511120000000002</v>
      </c>
      <c r="BI51" s="38">
        <f t="shared" si="50"/>
        <v>55.76472000000001</v>
      </c>
      <c r="BJ51" s="1" t="str">
        <f t="shared" si="51"/>
        <v>yes</v>
      </c>
      <c r="BK51" s="37">
        <f t="shared" si="52"/>
        <v>2.3759999999999977</v>
      </c>
      <c r="BL51" s="37">
        <f t="shared" si="53"/>
        <v>0</v>
      </c>
      <c r="BM51" s="7">
        <f t="shared" si="54"/>
        <v>2.3759999999999906</v>
      </c>
      <c r="BN51" s="7">
        <f t="shared" si="55"/>
        <v>0</v>
      </c>
    </row>
    <row r="52" spans="3:65" s="4" customFormat="1" ht="13.5" customHeight="1">
      <c r="C52" s="41"/>
      <c r="D52" s="41"/>
      <c r="E52" s="41"/>
      <c r="F52" s="75"/>
      <c r="G52" s="41"/>
      <c r="H52" s="41"/>
      <c r="I52" s="42"/>
      <c r="J52" s="13"/>
      <c r="K52" s="13"/>
      <c r="L52" s="44"/>
      <c r="M52" s="44"/>
      <c r="N52" s="179"/>
      <c r="O52" s="45"/>
      <c r="P52" s="46"/>
      <c r="Q52" s="179"/>
      <c r="R52" s="43"/>
      <c r="S52" s="179"/>
      <c r="T52" s="3"/>
      <c r="U52" s="41"/>
      <c r="W52" s="3"/>
      <c r="X52" s="40"/>
      <c r="Y52" s="40"/>
      <c r="Z52" s="40"/>
      <c r="AA52" s="40"/>
      <c r="AB52" s="40"/>
      <c r="AC52" s="40"/>
      <c r="AD52" s="40"/>
      <c r="AE52" s="40"/>
      <c r="AF52" s="40"/>
      <c r="AG52" s="47"/>
      <c r="AH52" s="47"/>
      <c r="AI52" s="47"/>
      <c r="AJ52" s="12"/>
      <c r="AK52" s="12"/>
      <c r="AL52" s="12"/>
      <c r="AM52" s="12"/>
      <c r="AN52" s="12"/>
      <c r="AO52" s="12"/>
      <c r="AP52" s="65"/>
      <c r="AQ52" s="12"/>
      <c r="AR52" s="65"/>
      <c r="AS52" s="12"/>
      <c r="AT52" s="13"/>
      <c r="AU52" s="13"/>
      <c r="AV52" s="13"/>
      <c r="AW52" s="13"/>
      <c r="AX52" s="13"/>
      <c r="AY52" s="3"/>
      <c r="AZ52" s="3"/>
      <c r="BA52" s="12"/>
      <c r="BB52" s="12"/>
      <c r="BC52" s="12"/>
      <c r="BD52" s="12"/>
      <c r="BE52" s="12"/>
      <c r="BH52" s="12"/>
      <c r="BM52" s="14"/>
    </row>
    <row r="53" spans="4:65" s="4" customFormat="1" ht="13.5" customHeight="1">
      <c r="D53" s="4" t="s">
        <v>9</v>
      </c>
      <c r="F53" s="76"/>
      <c r="G53" s="48"/>
      <c r="H53" s="49"/>
      <c r="I53" s="42"/>
      <c r="J53" s="13"/>
      <c r="K53" s="13"/>
      <c r="L53" s="44"/>
      <c r="M53" s="44"/>
      <c r="N53" s="179"/>
      <c r="O53" s="45"/>
      <c r="P53" s="46"/>
      <c r="Q53" s="178"/>
      <c r="R53" s="43"/>
      <c r="S53" s="179"/>
      <c r="T53" s="3"/>
      <c r="W53" s="3"/>
      <c r="X53" s="12"/>
      <c r="Y53" s="12"/>
      <c r="Z53" s="12"/>
      <c r="AA53" s="12"/>
      <c r="AB53" s="12"/>
      <c r="AC53" s="12"/>
      <c r="AD53" s="12"/>
      <c r="AE53" s="12"/>
      <c r="AF53" s="12"/>
      <c r="AG53" s="13"/>
      <c r="AH53" s="13"/>
      <c r="AI53" s="13"/>
      <c r="AJ53" s="12"/>
      <c r="AK53" s="12"/>
      <c r="AL53" s="12"/>
      <c r="AM53" s="12"/>
      <c r="AN53" s="12"/>
      <c r="AO53" s="12"/>
      <c r="AP53" s="65"/>
      <c r="AQ53" s="12"/>
      <c r="AR53" s="65"/>
      <c r="AS53" s="12"/>
      <c r="AT53" s="13"/>
      <c r="AU53" s="13"/>
      <c r="AV53" s="13"/>
      <c r="AW53" s="13"/>
      <c r="AX53" s="13"/>
      <c r="AY53" s="3"/>
      <c r="AZ53" s="3"/>
      <c r="BA53" s="12"/>
      <c r="BB53" s="12"/>
      <c r="BC53" s="12"/>
      <c r="BD53" s="12"/>
      <c r="BE53" s="12"/>
      <c r="BH53" s="12"/>
      <c r="BM53" s="14"/>
    </row>
    <row r="54" spans="4:65" s="4" customFormat="1" ht="13.5" customHeight="1">
      <c r="D54" s="4" t="s">
        <v>168</v>
      </c>
      <c r="F54" s="76"/>
      <c r="G54" s="48"/>
      <c r="H54" s="49"/>
      <c r="I54" s="42"/>
      <c r="J54" s="13"/>
      <c r="K54" s="13"/>
      <c r="L54" s="44"/>
      <c r="M54" s="44"/>
      <c r="N54" s="179"/>
      <c r="O54" s="45"/>
      <c r="P54" s="46"/>
      <c r="Q54" s="179"/>
      <c r="R54" s="43"/>
      <c r="S54" s="179"/>
      <c r="T54" s="3"/>
      <c r="W54" s="3"/>
      <c r="X54" s="12"/>
      <c r="Y54" s="12"/>
      <c r="Z54" s="12"/>
      <c r="AA54" s="12"/>
      <c r="AB54" s="12"/>
      <c r="AC54" s="12"/>
      <c r="AD54" s="12"/>
      <c r="AE54" s="12"/>
      <c r="AF54" s="12"/>
      <c r="AG54" s="13"/>
      <c r="AH54" s="13"/>
      <c r="AI54" s="13"/>
      <c r="AJ54" s="12"/>
      <c r="AK54" s="12"/>
      <c r="AL54" s="12"/>
      <c r="AM54" s="12"/>
      <c r="AN54" s="12"/>
      <c r="AO54" s="12"/>
      <c r="AP54" s="65"/>
      <c r="AQ54" s="12"/>
      <c r="AR54" s="65"/>
      <c r="AS54" s="12"/>
      <c r="AT54" s="13"/>
      <c r="AU54" s="13"/>
      <c r="AV54" s="13"/>
      <c r="AW54" s="13"/>
      <c r="AX54" s="13"/>
      <c r="AY54" s="3"/>
      <c r="AZ54" s="3"/>
      <c r="BA54" s="12"/>
      <c r="BB54" s="12"/>
      <c r="BC54" s="12"/>
      <c r="BD54" s="12"/>
      <c r="BE54" s="12"/>
      <c r="BH54" s="12"/>
      <c r="BM54" s="14"/>
    </row>
    <row r="55" spans="4:65" s="4" customFormat="1" ht="13.5" customHeight="1">
      <c r="D55" s="4" t="s">
        <v>91</v>
      </c>
      <c r="F55" s="76"/>
      <c r="G55" s="48"/>
      <c r="H55" s="49"/>
      <c r="I55" s="42"/>
      <c r="J55" s="13"/>
      <c r="K55" s="13"/>
      <c r="L55" s="44"/>
      <c r="M55" s="44"/>
      <c r="N55" s="179"/>
      <c r="O55" s="45"/>
      <c r="P55" s="46"/>
      <c r="Q55" s="179"/>
      <c r="R55" s="43"/>
      <c r="S55" s="179"/>
      <c r="T55" s="3"/>
      <c r="W55" s="3"/>
      <c r="X55" s="12"/>
      <c r="Y55" s="12"/>
      <c r="Z55" s="12"/>
      <c r="AA55" s="12"/>
      <c r="AB55" s="12"/>
      <c r="AC55" s="12"/>
      <c r="AD55" s="12"/>
      <c r="AE55" s="12"/>
      <c r="AF55" s="12"/>
      <c r="AG55" s="13"/>
      <c r="AH55" s="13"/>
      <c r="AI55" s="13"/>
      <c r="AJ55" s="12"/>
      <c r="AK55" s="12"/>
      <c r="AL55" s="12"/>
      <c r="AM55" s="12"/>
      <c r="AN55" s="12"/>
      <c r="AO55" s="12"/>
      <c r="AP55" s="65"/>
      <c r="AQ55" s="12"/>
      <c r="AR55" s="65"/>
      <c r="AS55" s="12"/>
      <c r="AT55" s="13"/>
      <c r="AU55" s="13"/>
      <c r="AV55" s="13"/>
      <c r="AW55" s="13"/>
      <c r="AX55" s="13"/>
      <c r="AY55" s="3"/>
      <c r="AZ55" s="3"/>
      <c r="BA55" s="12"/>
      <c r="BB55" s="12"/>
      <c r="BC55" s="12"/>
      <c r="BD55" s="12"/>
      <c r="BE55" s="12"/>
      <c r="BH55" s="12"/>
      <c r="BM55" s="14"/>
    </row>
    <row r="56" spans="4:65" s="4" customFormat="1" ht="13.5" customHeight="1">
      <c r="D56" s="4" t="s">
        <v>113</v>
      </c>
      <c r="F56" s="76"/>
      <c r="G56" s="48"/>
      <c r="H56" s="49"/>
      <c r="I56" s="42"/>
      <c r="J56" s="13"/>
      <c r="K56" s="13"/>
      <c r="L56" s="44"/>
      <c r="M56" s="44"/>
      <c r="N56" s="179"/>
      <c r="O56" s="45"/>
      <c r="P56" s="46"/>
      <c r="Q56" s="179"/>
      <c r="R56" s="43"/>
      <c r="S56" s="179"/>
      <c r="T56" s="3"/>
      <c r="W56" s="3"/>
      <c r="X56" s="12"/>
      <c r="Y56" s="12"/>
      <c r="Z56" s="12"/>
      <c r="AA56" s="12"/>
      <c r="AB56" s="12"/>
      <c r="AC56" s="12"/>
      <c r="AD56" s="12"/>
      <c r="AE56" s="12"/>
      <c r="AF56" s="12"/>
      <c r="AG56" s="13"/>
      <c r="AH56" s="13"/>
      <c r="AI56" s="13"/>
      <c r="AJ56" s="12"/>
      <c r="AK56" s="12"/>
      <c r="AL56" s="12"/>
      <c r="AM56" s="12"/>
      <c r="AN56" s="12"/>
      <c r="AO56" s="12"/>
      <c r="AP56" s="65"/>
      <c r="AQ56" s="12"/>
      <c r="AR56" s="65"/>
      <c r="AS56" s="12"/>
      <c r="AT56" s="13"/>
      <c r="AU56" s="13"/>
      <c r="AV56" s="13"/>
      <c r="AW56" s="13"/>
      <c r="AX56" s="13"/>
      <c r="AY56" s="3"/>
      <c r="AZ56" s="3"/>
      <c r="BA56" s="12"/>
      <c r="BB56" s="12"/>
      <c r="BC56" s="12"/>
      <c r="BD56" s="12"/>
      <c r="BE56" s="12"/>
      <c r="BH56" s="12"/>
      <c r="BM56" s="14"/>
    </row>
    <row r="57" spans="4:65" s="4" customFormat="1" ht="13.5" customHeight="1">
      <c r="D57" s="222" t="s">
        <v>202</v>
      </c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3"/>
      <c r="W57" s="3"/>
      <c r="X57" s="12"/>
      <c r="Y57" s="12"/>
      <c r="Z57" s="12"/>
      <c r="AA57" s="12"/>
      <c r="AB57" s="12"/>
      <c r="AC57" s="12"/>
      <c r="AD57" s="12"/>
      <c r="AE57" s="12"/>
      <c r="AF57" s="12"/>
      <c r="AG57" s="13"/>
      <c r="AH57" s="13"/>
      <c r="AI57" s="13"/>
      <c r="AJ57" s="12"/>
      <c r="AK57" s="12"/>
      <c r="AL57" s="12"/>
      <c r="AM57" s="12"/>
      <c r="AN57" s="12"/>
      <c r="AO57" s="12"/>
      <c r="AP57" s="65"/>
      <c r="AQ57" s="12"/>
      <c r="AR57" s="65"/>
      <c r="AS57" s="12"/>
      <c r="AT57" s="13"/>
      <c r="AU57" s="13"/>
      <c r="AV57" s="13"/>
      <c r="AW57" s="13"/>
      <c r="AX57" s="13"/>
      <c r="AY57" s="3"/>
      <c r="AZ57" s="3"/>
      <c r="BA57" s="12"/>
      <c r="BB57" s="12"/>
      <c r="BC57" s="12"/>
      <c r="BD57" s="12"/>
      <c r="BE57" s="12"/>
      <c r="BH57" s="12"/>
      <c r="BM57" s="14"/>
    </row>
    <row r="58" spans="4:65" s="4" customFormat="1" ht="13.5" customHeight="1"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3"/>
      <c r="W58" s="3"/>
      <c r="X58" s="12"/>
      <c r="Y58" s="12"/>
      <c r="Z58" s="12"/>
      <c r="AA58" s="12"/>
      <c r="AB58" s="12"/>
      <c r="AC58" s="12"/>
      <c r="AD58" s="12"/>
      <c r="AE58" s="12"/>
      <c r="AF58" s="12"/>
      <c r="AG58" s="13"/>
      <c r="AH58" s="13"/>
      <c r="AI58" s="13"/>
      <c r="AJ58" s="12"/>
      <c r="AK58" s="12"/>
      <c r="AL58" s="12"/>
      <c r="AM58" s="12"/>
      <c r="AN58" s="12"/>
      <c r="AO58" s="12"/>
      <c r="AP58" s="65"/>
      <c r="AQ58" s="12"/>
      <c r="AR58" s="65"/>
      <c r="AS58" s="12"/>
      <c r="AT58" s="13"/>
      <c r="AU58" s="13"/>
      <c r="AV58" s="13"/>
      <c r="AW58" s="13"/>
      <c r="AX58" s="13"/>
      <c r="AY58" s="3"/>
      <c r="AZ58" s="3"/>
      <c r="BA58" s="12"/>
      <c r="BB58" s="12"/>
      <c r="BC58" s="12"/>
      <c r="BD58" s="12"/>
      <c r="BE58" s="12"/>
      <c r="BH58" s="12"/>
      <c r="BM58" s="14"/>
    </row>
    <row r="59" spans="6:19" ht="13.5" customHeight="1">
      <c r="F59" s="77"/>
      <c r="H59" s="197"/>
      <c r="N59" s="180"/>
      <c r="Q59" s="180"/>
      <c r="S59" s="180"/>
    </row>
    <row r="60" spans="6:19" ht="13.5" customHeight="1">
      <c r="F60" s="77"/>
      <c r="H60" s="197"/>
      <c r="N60" s="180"/>
      <c r="Q60" s="180"/>
      <c r="S60" s="180"/>
    </row>
    <row r="61" spans="6:19" ht="13.5" customHeight="1">
      <c r="F61" s="77"/>
      <c r="H61" s="197"/>
      <c r="N61" s="180"/>
      <c r="Q61" s="180"/>
      <c r="S61" s="180"/>
    </row>
    <row r="62" spans="6:19" ht="13.5" customHeight="1">
      <c r="F62" s="77"/>
      <c r="H62" s="197"/>
      <c r="N62" s="180"/>
      <c r="Q62" s="180"/>
      <c r="S62" s="180"/>
    </row>
    <row r="63" spans="6:19" ht="13.5" customHeight="1">
      <c r="F63" s="77"/>
      <c r="H63" s="197"/>
      <c r="N63" s="180"/>
      <c r="Q63" s="180"/>
      <c r="S63" s="180"/>
    </row>
    <row r="64" spans="6:19" ht="13.5" customHeight="1">
      <c r="F64" s="77"/>
      <c r="H64" s="197"/>
      <c r="N64" s="180"/>
      <c r="Q64" s="180"/>
      <c r="S64" s="180"/>
    </row>
    <row r="65" spans="6:19" ht="13.5" customHeight="1">
      <c r="F65" s="77"/>
      <c r="H65" s="197"/>
      <c r="N65" s="180"/>
      <c r="Q65" s="180"/>
      <c r="S65" s="180"/>
    </row>
    <row r="66" spans="6:19" ht="13.5" customHeight="1">
      <c r="F66" s="77"/>
      <c r="H66" s="197"/>
      <c r="N66" s="180"/>
      <c r="Q66" s="180"/>
      <c r="S66" s="180"/>
    </row>
    <row r="67" spans="6:19" ht="13.5" customHeight="1">
      <c r="F67" s="77"/>
      <c r="H67" s="197"/>
      <c r="N67" s="180"/>
      <c r="Q67" s="180"/>
      <c r="S67" s="180"/>
    </row>
    <row r="68" spans="6:19" ht="13.5" customHeight="1">
      <c r="F68" s="77"/>
      <c r="H68" s="197"/>
      <c r="N68" s="180"/>
      <c r="Q68" s="180"/>
      <c r="S68" s="180"/>
    </row>
    <row r="69" spans="6:19" ht="13.5" customHeight="1">
      <c r="F69" s="77"/>
      <c r="H69" s="197"/>
      <c r="N69" s="180"/>
      <c r="Q69" s="180"/>
      <c r="S69" s="180"/>
    </row>
    <row r="70" spans="6:19" ht="13.5" customHeight="1">
      <c r="F70" s="77"/>
      <c r="H70" s="197"/>
      <c r="N70" s="180"/>
      <c r="Q70" s="180"/>
      <c r="S70" s="180"/>
    </row>
    <row r="71" spans="6:19" ht="13.5" customHeight="1">
      <c r="F71" s="77"/>
      <c r="H71" s="197"/>
      <c r="N71" s="180"/>
      <c r="Q71" s="180"/>
      <c r="S71" s="180"/>
    </row>
    <row r="72" spans="6:19" ht="13.5" customHeight="1">
      <c r="F72" s="77"/>
      <c r="H72" s="197"/>
      <c r="N72" s="180"/>
      <c r="Q72" s="180"/>
      <c r="S72" s="180"/>
    </row>
    <row r="73" spans="6:19" ht="13.5" customHeight="1">
      <c r="F73" s="77"/>
      <c r="H73" s="197"/>
      <c r="N73" s="180"/>
      <c r="Q73" s="180"/>
      <c r="S73" s="180"/>
    </row>
    <row r="74" spans="6:19" ht="13.5" customHeight="1">
      <c r="F74" s="77"/>
      <c r="H74" s="197"/>
      <c r="N74" s="180"/>
      <c r="Q74" s="180"/>
      <c r="S74" s="180"/>
    </row>
    <row r="75" spans="6:19" ht="13.5" customHeight="1">
      <c r="F75" s="77"/>
      <c r="H75" s="197"/>
      <c r="N75" s="180"/>
      <c r="Q75" s="180"/>
      <c r="S75" s="180"/>
    </row>
    <row r="76" spans="6:19" ht="13.5" customHeight="1">
      <c r="F76" s="77"/>
      <c r="H76" s="197"/>
      <c r="N76" s="180"/>
      <c r="Q76" s="180"/>
      <c r="S76" s="180"/>
    </row>
    <row r="77" spans="6:19" ht="13.5" customHeight="1">
      <c r="F77" s="77"/>
      <c r="H77" s="197"/>
      <c r="N77" s="180"/>
      <c r="Q77" s="180"/>
      <c r="S77" s="180"/>
    </row>
    <row r="78" spans="6:19" ht="13.5" customHeight="1">
      <c r="F78" s="77"/>
      <c r="H78" s="197"/>
      <c r="N78" s="180"/>
      <c r="Q78" s="180"/>
      <c r="S78" s="180"/>
    </row>
    <row r="79" spans="6:19" ht="13.5" customHeight="1">
      <c r="F79" s="77"/>
      <c r="H79" s="197"/>
      <c r="N79" s="180"/>
      <c r="Q79" s="180"/>
      <c r="S79" s="180"/>
    </row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</sheetData>
  <sheetProtection password="ECC8" sheet="1" objects="1" scenarios="1"/>
  <mergeCells count="25">
    <mergeCell ref="O11:Q11"/>
    <mergeCell ref="D12:F12"/>
    <mergeCell ref="D14:E17"/>
    <mergeCell ref="R16:S16"/>
    <mergeCell ref="O13:Q13"/>
    <mergeCell ref="O14:Q14"/>
    <mergeCell ref="J16:K16"/>
    <mergeCell ref="L16:N16"/>
    <mergeCell ref="O16:Q16"/>
    <mergeCell ref="D2:S2"/>
    <mergeCell ref="D6:S6"/>
    <mergeCell ref="D7:S7"/>
    <mergeCell ref="O9:S9"/>
    <mergeCell ref="O10:Q10"/>
    <mergeCell ref="D11:F11"/>
    <mergeCell ref="J11:J12"/>
    <mergeCell ref="K11:K12"/>
    <mergeCell ref="L11:L12"/>
    <mergeCell ref="M11:M12"/>
    <mergeCell ref="AW37:AY37"/>
    <mergeCell ref="J37:K37"/>
    <mergeCell ref="L37:N37"/>
    <mergeCell ref="O37:Q37"/>
    <mergeCell ref="R37:S37"/>
    <mergeCell ref="AT37:AV37"/>
  </mergeCells>
  <dataValidations count="2">
    <dataValidation type="list" allowBlank="1" showInputMessage="1" showErrorMessage="1" sqref="E19 E21:E27">
      <formula1>'     GT,  GL,  LL,  LLB2'!$E$40:$E$168</formula1>
    </dataValidation>
    <dataValidation type="list" allowBlank="1" showInputMessage="1" showErrorMessage="1" prompt="=$E$37:$E$176" sqref="E20">
      <formula1>'     GT,  GL,  LL,  LLB2'!$E$40:$E$168</formula1>
    </dataValidation>
  </dataValidations>
  <hyperlinks>
    <hyperlink ref="O13" r:id="rId1" display="www.plainscotton.org"/>
    <hyperlink ref="L4" r:id="rId2" display="http://www.plainscotton.org"/>
  </hyperlinks>
  <printOptions/>
  <pageMargins left="0.75" right="0.75" top="1" bottom="1" header="0.5" footer="0.5"/>
  <pageSetup fitToHeight="1" fitToWidth="1" orientation="landscape" scale="67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85"/>
  <sheetViews>
    <sheetView zoomScalePageLayoutView="0" workbookViewId="0" topLeftCell="A2">
      <selection activeCell="A4" sqref="A3:IV4"/>
    </sheetView>
  </sheetViews>
  <sheetFormatPr defaultColWidth="11.625" defaultRowHeight="12.75"/>
  <cols>
    <col min="1" max="1" width="1.75390625" style="1" customWidth="1"/>
    <col min="2" max="3" width="11.625" style="4" hidden="1" customWidth="1"/>
    <col min="4" max="4" width="12.75390625" style="1" customWidth="1"/>
    <col min="5" max="5" width="20.375" style="1" customWidth="1"/>
    <col min="6" max="6" width="12.625" style="73" customWidth="1"/>
    <col min="7" max="7" width="11.625" style="15" hidden="1" customWidth="1"/>
    <col min="8" max="8" width="11.625" style="16" hidden="1" customWidth="1"/>
    <col min="9" max="9" width="11.625" style="17" hidden="1" customWidth="1"/>
    <col min="10" max="10" width="11.00390625" style="6" customWidth="1"/>
    <col min="11" max="11" width="10.875" style="6" customWidth="1"/>
    <col min="12" max="12" width="10.375" style="19" customWidth="1"/>
    <col min="13" max="13" width="9.875" style="19" customWidth="1"/>
    <col min="14" max="14" width="9.875" style="172" customWidth="1"/>
    <col min="15" max="15" width="9.75390625" style="20" customWidth="1"/>
    <col min="16" max="16" width="9.75390625" style="21" customWidth="1"/>
    <col min="17" max="17" width="9.75390625" style="172" customWidth="1"/>
    <col min="18" max="18" width="9.75390625" style="18" customWidth="1"/>
    <col min="19" max="19" width="9.75390625" style="172" customWidth="1"/>
    <col min="20" max="20" width="4.375" style="3" customWidth="1"/>
    <col min="21" max="22" width="0" style="4" hidden="1" customWidth="1"/>
    <col min="23" max="23" width="2.25390625" style="3" hidden="1" customWidth="1"/>
    <col min="24" max="27" width="0" style="5" hidden="1" customWidth="1"/>
    <col min="28" max="28" width="15.375" style="5" hidden="1" customWidth="1"/>
    <col min="29" max="29" width="0" style="5" hidden="1" customWidth="1"/>
    <col min="30" max="30" width="15.375" style="5" hidden="1" customWidth="1"/>
    <col min="31" max="31" width="0" style="5" hidden="1" customWidth="1"/>
    <col min="32" max="32" width="15.375" style="5" hidden="1" customWidth="1"/>
    <col min="33" max="35" width="0" style="6" hidden="1" customWidth="1"/>
    <col min="36" max="41" width="10.00390625" style="5" hidden="1" customWidth="1"/>
    <col min="42" max="42" width="0" style="50" hidden="1" customWidth="1"/>
    <col min="43" max="43" width="0" style="5" hidden="1" customWidth="1"/>
    <col min="44" max="44" width="0" style="50" hidden="1" customWidth="1"/>
    <col min="45" max="45" width="0" style="5" hidden="1" customWidth="1"/>
    <col min="46" max="52" width="0" style="6" hidden="1" customWidth="1"/>
    <col min="53" max="57" width="0" style="5" hidden="1" customWidth="1"/>
    <col min="58" max="59" width="0" style="1" hidden="1" customWidth="1"/>
    <col min="60" max="60" width="0" style="5" hidden="1" customWidth="1"/>
    <col min="61" max="64" width="0" style="1" hidden="1" customWidth="1"/>
    <col min="65" max="65" width="0" style="7" hidden="1" customWidth="1"/>
    <col min="66" max="66" width="0" style="1" hidden="1" customWidth="1"/>
    <col min="67" max="16384" width="11.625" style="1" customWidth="1"/>
  </cols>
  <sheetData>
    <row r="1" spans="1:22" ht="10.5" customHeight="1">
      <c r="A1" s="209"/>
      <c r="B1" s="1"/>
      <c r="C1" s="1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1"/>
      <c r="U1" s="1"/>
      <c r="V1" s="1"/>
    </row>
    <row r="2" spans="2:22" ht="30.75" customHeight="1">
      <c r="B2" s="1"/>
      <c r="C2" s="1"/>
      <c r="D2" s="258" t="s">
        <v>144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1"/>
      <c r="U2" s="1"/>
      <c r="V2" s="1"/>
    </row>
    <row r="3" spans="2:22" ht="18" customHeight="1">
      <c r="B3" s="1"/>
      <c r="C3" s="1"/>
      <c r="D3" s="226"/>
      <c r="E3" s="226"/>
      <c r="F3" s="226"/>
      <c r="G3" s="226"/>
      <c r="H3" s="226"/>
      <c r="I3" s="226"/>
      <c r="J3" s="226"/>
      <c r="K3" s="226"/>
      <c r="L3" s="228" t="s">
        <v>244</v>
      </c>
      <c r="M3" s="226"/>
      <c r="N3" s="226"/>
      <c r="O3" s="226"/>
      <c r="P3" s="226"/>
      <c r="Q3" s="226"/>
      <c r="R3" s="226"/>
      <c r="S3" s="226"/>
      <c r="T3" s="1"/>
      <c r="U3" s="1"/>
      <c r="V3" s="1"/>
    </row>
    <row r="4" spans="2:22" ht="18" customHeight="1">
      <c r="B4" s="22"/>
      <c r="C4" s="22"/>
      <c r="D4" s="2"/>
      <c r="E4" s="2"/>
      <c r="F4" s="69"/>
      <c r="G4" s="2"/>
      <c r="H4" s="2"/>
      <c r="I4" s="8"/>
      <c r="J4" s="9"/>
      <c r="K4" s="10"/>
      <c r="L4" s="227" t="s">
        <v>243</v>
      </c>
      <c r="M4" s="1"/>
      <c r="N4" s="171"/>
      <c r="O4" s="1"/>
      <c r="P4" s="1"/>
      <c r="Q4" s="171"/>
      <c r="R4" s="9"/>
      <c r="S4" s="181"/>
      <c r="T4" s="22"/>
      <c r="U4" s="22"/>
      <c r="V4" s="22"/>
    </row>
    <row r="5" spans="2:22" ht="9" customHeight="1" thickBot="1">
      <c r="B5" s="22"/>
      <c r="C5" s="22"/>
      <c r="D5" s="2"/>
      <c r="E5" s="2"/>
      <c r="F5" s="69"/>
      <c r="G5" s="2"/>
      <c r="H5" s="2"/>
      <c r="I5" s="8"/>
      <c r="J5" s="9"/>
      <c r="K5" s="10"/>
      <c r="L5" s="224"/>
      <c r="M5" s="1"/>
      <c r="N5" s="171"/>
      <c r="O5" s="1"/>
      <c r="P5" s="1"/>
      <c r="Q5" s="171"/>
      <c r="R5" s="9"/>
      <c r="S5" s="181"/>
      <c r="T5" s="22"/>
      <c r="U5" s="22"/>
      <c r="V5" s="22"/>
    </row>
    <row r="6" spans="4:65" s="4" customFormat="1" ht="21" customHeight="1" thickTop="1">
      <c r="D6" s="262" t="s">
        <v>166</v>
      </c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2"/>
      <c r="W6" s="11"/>
      <c r="X6" s="12"/>
      <c r="Y6" s="12"/>
      <c r="Z6" s="12"/>
      <c r="AA6" s="12"/>
      <c r="AB6" s="12"/>
      <c r="AC6" s="12"/>
      <c r="AD6" s="12"/>
      <c r="AE6" s="12"/>
      <c r="AF6" s="12"/>
      <c r="AG6" s="13"/>
      <c r="AH6" s="13"/>
      <c r="AI6" s="13"/>
      <c r="AJ6" s="12"/>
      <c r="AK6" s="12"/>
      <c r="AL6" s="12"/>
      <c r="AM6" s="12"/>
      <c r="AN6" s="12"/>
      <c r="AO6" s="12"/>
      <c r="AP6" s="65"/>
      <c r="AQ6" s="12"/>
      <c r="AR6" s="65"/>
      <c r="AS6" s="12"/>
      <c r="AT6" s="13"/>
      <c r="AU6" s="13"/>
      <c r="AV6" s="13"/>
      <c r="AW6" s="13"/>
      <c r="AX6" s="13"/>
      <c r="AY6" s="13"/>
      <c r="AZ6" s="13"/>
      <c r="BA6" s="12"/>
      <c r="BB6" s="12"/>
      <c r="BC6" s="12"/>
      <c r="BD6" s="12"/>
      <c r="BE6" s="12"/>
      <c r="BH6" s="12"/>
      <c r="BM6" s="14"/>
    </row>
    <row r="7" spans="4:65" s="4" customFormat="1" ht="21" customHeight="1" thickBot="1">
      <c r="D7" s="265" t="s">
        <v>58</v>
      </c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7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3"/>
      <c r="AH7" s="13"/>
      <c r="AI7" s="13"/>
      <c r="AJ7" s="12"/>
      <c r="AK7" s="12"/>
      <c r="AL7" s="12"/>
      <c r="AM7" s="12"/>
      <c r="AN7" s="12"/>
      <c r="AO7" s="12"/>
      <c r="AP7" s="65"/>
      <c r="AQ7" s="12"/>
      <c r="AR7" s="65"/>
      <c r="AS7" s="12"/>
      <c r="AT7" s="13"/>
      <c r="AU7" s="13"/>
      <c r="AV7" s="13"/>
      <c r="AW7" s="13"/>
      <c r="AX7" s="13"/>
      <c r="AY7" s="13"/>
      <c r="AZ7" s="13"/>
      <c r="BA7" s="12"/>
      <c r="BB7" s="12"/>
      <c r="BC7" s="12"/>
      <c r="BD7" s="12"/>
      <c r="BE7" s="12"/>
      <c r="BH7" s="12"/>
      <c r="BM7" s="14"/>
    </row>
    <row r="8" spans="1:65" s="4" customFormat="1" ht="9" customHeight="1" thickBot="1">
      <c r="A8" s="1"/>
      <c r="B8" s="22"/>
      <c r="C8" s="22"/>
      <c r="D8" s="50"/>
      <c r="E8" s="51"/>
      <c r="F8" s="70"/>
      <c r="G8" s="36"/>
      <c r="H8" s="36"/>
      <c r="I8" s="21"/>
      <c r="J8" s="19"/>
      <c r="K8" s="20"/>
      <c r="L8" s="3"/>
      <c r="M8" s="1"/>
      <c r="N8" s="171"/>
      <c r="O8" s="1"/>
      <c r="P8" s="1"/>
      <c r="Q8" s="171"/>
      <c r="R8" s="19"/>
      <c r="S8" s="181"/>
      <c r="T8" s="22"/>
      <c r="U8" s="22"/>
      <c r="V8" s="22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3"/>
      <c r="AH8" s="13"/>
      <c r="AI8" s="13"/>
      <c r="AJ8" s="12"/>
      <c r="AK8" s="12"/>
      <c r="AL8" s="12"/>
      <c r="AM8" s="12"/>
      <c r="AN8" s="12"/>
      <c r="AO8" s="12"/>
      <c r="AP8" s="65"/>
      <c r="AQ8" s="12"/>
      <c r="AR8" s="65"/>
      <c r="AS8" s="12"/>
      <c r="AT8" s="13"/>
      <c r="AU8" s="13"/>
      <c r="AV8" s="13"/>
      <c r="AW8" s="13"/>
      <c r="AX8" s="13"/>
      <c r="AY8" s="13"/>
      <c r="AZ8" s="13"/>
      <c r="BA8" s="12"/>
      <c r="BB8" s="12"/>
      <c r="BC8" s="12"/>
      <c r="BD8" s="12"/>
      <c r="BE8" s="12"/>
      <c r="BH8" s="12"/>
      <c r="BM8" s="14"/>
    </row>
    <row r="9" spans="1:65" s="4" customFormat="1" ht="16.5" thickBot="1">
      <c r="A9" s="1"/>
      <c r="B9" s="22"/>
      <c r="C9" s="22"/>
      <c r="D9" s="22"/>
      <c r="E9" s="22"/>
      <c r="F9" s="71"/>
      <c r="G9" s="22"/>
      <c r="H9" s="196"/>
      <c r="I9" s="22"/>
      <c r="J9" s="22"/>
      <c r="K9" s="22"/>
      <c r="L9" s="3"/>
      <c r="M9" s="1"/>
      <c r="N9" s="171"/>
      <c r="O9" s="259" t="s">
        <v>124</v>
      </c>
      <c r="P9" s="260"/>
      <c r="Q9" s="260"/>
      <c r="R9" s="260"/>
      <c r="S9" s="261"/>
      <c r="T9" s="22"/>
      <c r="U9" s="22"/>
      <c r="V9" s="22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3"/>
      <c r="AH9" s="13"/>
      <c r="AI9" s="13"/>
      <c r="AJ9" s="12"/>
      <c r="AK9" s="12"/>
      <c r="AL9" s="12"/>
      <c r="AM9" s="12"/>
      <c r="AN9" s="12"/>
      <c r="AO9" s="12"/>
      <c r="AP9" s="65"/>
      <c r="AQ9" s="12"/>
      <c r="AR9" s="65"/>
      <c r="AS9" s="12"/>
      <c r="AT9" s="13"/>
      <c r="AU9" s="13"/>
      <c r="AV9" s="13"/>
      <c r="AW9" s="13"/>
      <c r="AX9" s="13"/>
      <c r="AY9" s="13"/>
      <c r="AZ9" s="13"/>
      <c r="BA9" s="12"/>
      <c r="BB9" s="12"/>
      <c r="BC9" s="12"/>
      <c r="BD9" s="12"/>
      <c r="BE9" s="12"/>
      <c r="BH9" s="12"/>
      <c r="BM9" s="14"/>
    </row>
    <row r="10" spans="4:19" ht="30.75" customHeight="1" thickBot="1">
      <c r="D10" s="114" t="s">
        <v>59</v>
      </c>
      <c r="E10" s="68"/>
      <c r="F10" s="72"/>
      <c r="J10" s="115" t="s">
        <v>6</v>
      </c>
      <c r="K10" s="115" t="s">
        <v>5</v>
      </c>
      <c r="L10" s="115" t="s">
        <v>26</v>
      </c>
      <c r="M10" s="116" t="s">
        <v>189</v>
      </c>
      <c r="O10" s="268" t="s">
        <v>169</v>
      </c>
      <c r="P10" s="269"/>
      <c r="Q10" s="269"/>
      <c r="R10" s="211"/>
      <c r="S10" s="212"/>
    </row>
    <row r="11" spans="4:19" ht="18.75" customHeight="1">
      <c r="D11" s="250" t="s">
        <v>68</v>
      </c>
      <c r="E11" s="251"/>
      <c r="F11" s="246"/>
      <c r="J11" s="270"/>
      <c r="K11" s="272">
        <v>40</v>
      </c>
      <c r="L11" s="274">
        <v>4</v>
      </c>
      <c r="M11" s="276">
        <f>(43560/($K11/12)*L11)</f>
        <v>52272</v>
      </c>
      <c r="O11" s="254" t="s">
        <v>197</v>
      </c>
      <c r="P11" s="255"/>
      <c r="Q11" s="255"/>
      <c r="R11" s="213"/>
      <c r="S11" s="214"/>
    </row>
    <row r="12" spans="4:71" ht="18" customHeight="1" thickBot="1">
      <c r="D12" s="250" t="s">
        <v>164</v>
      </c>
      <c r="E12" s="251"/>
      <c r="F12" s="246"/>
      <c r="J12" s="271"/>
      <c r="K12" s="273"/>
      <c r="L12" s="275"/>
      <c r="M12" s="277"/>
      <c r="O12" s="215"/>
      <c r="P12" s="216"/>
      <c r="Q12" s="217"/>
      <c r="R12" s="213"/>
      <c r="S12" s="214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66"/>
      <c r="AQ12" s="22"/>
      <c r="AR12" s="66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</row>
    <row r="13" spans="4:71" ht="28.5" customHeight="1" thickBot="1">
      <c r="D13" s="114" t="s">
        <v>60</v>
      </c>
      <c r="E13" s="117"/>
      <c r="F13" s="118"/>
      <c r="G13" s="1"/>
      <c r="H13" s="119"/>
      <c r="I13" s="119"/>
      <c r="J13" s="119"/>
      <c r="K13" s="1"/>
      <c r="L13" s="22"/>
      <c r="M13" s="22"/>
      <c r="N13" s="186"/>
      <c r="O13" s="256" t="s">
        <v>192</v>
      </c>
      <c r="P13" s="257"/>
      <c r="Q13" s="257"/>
      <c r="R13" s="218"/>
      <c r="S13" s="219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66"/>
      <c r="AQ13" s="22"/>
      <c r="AR13" s="66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</row>
    <row r="14" spans="4:71" ht="6" customHeight="1" thickBot="1">
      <c r="D14" s="245" t="s">
        <v>185</v>
      </c>
      <c r="E14" s="246"/>
      <c r="O14" s="252"/>
      <c r="P14" s="253"/>
      <c r="Q14" s="253"/>
      <c r="R14" s="220"/>
      <c r="S14" s="221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66"/>
      <c r="AQ14" s="22"/>
      <c r="AR14" s="66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</row>
    <row r="15" spans="4:71" ht="4.5" customHeight="1" thickBot="1">
      <c r="D15" s="247"/>
      <c r="E15" s="246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66"/>
      <c r="AQ15" s="22"/>
      <c r="AR15" s="66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</row>
    <row r="16" spans="4:71" ht="12.75" customHeight="1">
      <c r="D16" s="247"/>
      <c r="E16" s="246"/>
      <c r="F16" s="120" t="s">
        <v>121</v>
      </c>
      <c r="G16" s="121" t="s">
        <v>125</v>
      </c>
      <c r="H16" s="122" t="s">
        <v>66</v>
      </c>
      <c r="J16" s="229" t="s">
        <v>126</v>
      </c>
      <c r="K16" s="230"/>
      <c r="L16" s="231" t="s">
        <v>4</v>
      </c>
      <c r="M16" s="232"/>
      <c r="N16" s="233"/>
      <c r="O16" s="234" t="s">
        <v>167</v>
      </c>
      <c r="P16" s="235"/>
      <c r="Q16" s="236"/>
      <c r="R16" s="237" t="s">
        <v>0</v>
      </c>
      <c r="S16" s="238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66"/>
      <c r="AQ16" s="22"/>
      <c r="AR16" s="66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</row>
    <row r="17" spans="4:71" ht="18" customHeight="1" thickBot="1">
      <c r="D17" s="248"/>
      <c r="E17" s="249"/>
      <c r="F17" s="123" t="s">
        <v>153</v>
      </c>
      <c r="G17" s="124" t="s">
        <v>154</v>
      </c>
      <c r="H17" s="125" t="s">
        <v>155</v>
      </c>
      <c r="I17" s="52">
        <v>2003</v>
      </c>
      <c r="J17" s="126">
        <f>$Y$38</f>
        <v>2010</v>
      </c>
      <c r="K17" s="127">
        <f>$Z$38</f>
        <v>2011</v>
      </c>
      <c r="L17" s="128">
        <f>$Y$38</f>
        <v>2010</v>
      </c>
      <c r="M17" s="129">
        <f>$Z$38</f>
        <v>2011</v>
      </c>
      <c r="N17" s="187" t="s">
        <v>161</v>
      </c>
      <c r="O17" s="141">
        <f>$Y$38</f>
        <v>2010</v>
      </c>
      <c r="P17" s="142">
        <f>$Z$38</f>
        <v>2011</v>
      </c>
      <c r="Q17" s="173" t="s">
        <v>161</v>
      </c>
      <c r="R17" s="130" t="s">
        <v>156</v>
      </c>
      <c r="S17" s="182" t="s">
        <v>161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 s="22"/>
      <c r="BQ17" s="22"/>
      <c r="BR17" s="22"/>
      <c r="BS17" s="22"/>
    </row>
    <row r="18" spans="4:19" ht="4.5" customHeight="1" thickBot="1">
      <c r="D18" s="53"/>
      <c r="E18" s="54"/>
      <c r="F18" s="74"/>
      <c r="G18" s="55"/>
      <c r="H18" s="56"/>
      <c r="I18" s="57"/>
      <c r="J18" s="58"/>
      <c r="K18" s="59"/>
      <c r="L18" s="60"/>
      <c r="M18" s="61"/>
      <c r="N18" s="174"/>
      <c r="O18" s="62"/>
      <c r="P18" s="63"/>
      <c r="Q18" s="174"/>
      <c r="R18" s="64"/>
      <c r="S18" s="174"/>
    </row>
    <row r="19" spans="4:19" ht="21" customHeight="1">
      <c r="D19" s="78" t="s">
        <v>186</v>
      </c>
      <c r="E19" s="200" t="s">
        <v>209</v>
      </c>
      <c r="F19" s="79">
        <f aca="true" t="shared" si="0" ref="F19:F27">VLOOKUP($E19,$E$40:$Q$57,2)</f>
        <v>52272</v>
      </c>
      <c r="G19" s="80">
        <f aca="true" t="shared" si="1" ref="G19:G27">VLOOKUP($E19,$E$40:$Q$57,3)</f>
        <v>40</v>
      </c>
      <c r="H19" s="81">
        <f aca="true" t="shared" si="2" ref="H19:H27">VLOOKUP($E19,$E$40:$Q$57,4)</f>
        <v>4</v>
      </c>
      <c r="I19" s="82">
        <f aca="true" t="shared" si="3" ref="I19:I27">VLOOKUP($E19,$E$40:$Q$57,5)</f>
      </c>
      <c r="J19" s="83">
        <f aca="true" t="shared" si="4" ref="J19:J27">VLOOKUP($E19,$E$40:$S$57,6)</f>
        <v>0</v>
      </c>
      <c r="K19" s="84">
        <f aca="true" t="shared" si="5" ref="K19:K27">VLOOKUP($E19,$E$40:$S$57,7)</f>
        <v>66.50424000000001</v>
      </c>
      <c r="L19" s="85">
        <f aca="true" t="shared" si="6" ref="L19:L27">VLOOKUP($E19,$E$40:$S$57,8)</f>
      </c>
      <c r="M19" s="86">
        <f aca="true" t="shared" si="7" ref="M19:M27">VLOOKUP($E19,$E$40:$S$57,9)</f>
        <v>25.660800000000002</v>
      </c>
      <c r="N19" s="188" t="str">
        <f aca="true" t="shared" si="8" ref="N19:N27">VLOOKUP($E19,$E$40:$S$57,10)</f>
        <v>New</v>
      </c>
      <c r="O19" s="87">
        <f aca="true" t="shared" si="9" ref="O19:O27">VLOOKUP($E19,$E$40:$S$57,11)</f>
      </c>
      <c r="P19" s="88">
        <f aca="true" t="shared" si="10" ref="P19:P27">VLOOKUP($E19,$E$40:$S$57,12)</f>
        <v>40.84344</v>
      </c>
      <c r="Q19" s="175" t="str">
        <f aca="true" t="shared" si="11" ref="Q19:Q27">VLOOKUP($E19,$E$40:$S$57,13)</f>
        <v>New</v>
      </c>
      <c r="R19" s="89" t="str">
        <f aca="true" t="shared" si="12" ref="R19:R27">VLOOKUP($E19,$E$40:$S$57,14)</f>
        <v>New</v>
      </c>
      <c r="S19" s="183">
        <f aca="true" t="shared" si="13" ref="S19:S27">VLOOKUP($E19,$E$40:$S$57,15)</f>
      </c>
    </row>
    <row r="20" spans="4:19" ht="21" customHeight="1">
      <c r="D20" s="78" t="s">
        <v>187</v>
      </c>
      <c r="E20" s="201" t="s">
        <v>210</v>
      </c>
      <c r="F20" s="90">
        <f t="shared" si="0"/>
        <v>52272</v>
      </c>
      <c r="G20" s="91">
        <f t="shared" si="1"/>
        <v>40</v>
      </c>
      <c r="H20" s="92">
        <f t="shared" si="2"/>
        <v>4</v>
      </c>
      <c r="I20" s="93">
        <f t="shared" si="3"/>
        <v>56.7864</v>
      </c>
      <c r="J20" s="94">
        <f t="shared" si="4"/>
        <v>57.879360000000005</v>
      </c>
      <c r="K20" s="95">
        <f t="shared" si="5"/>
        <v>57.879360000000005</v>
      </c>
      <c r="L20" s="96">
        <f t="shared" si="6"/>
        <v>25.660800000000002</v>
      </c>
      <c r="M20" s="97">
        <f t="shared" si="7"/>
        <v>25.660800000000002</v>
      </c>
      <c r="N20" s="189">
        <f t="shared" si="8"/>
        <v>0</v>
      </c>
      <c r="O20" s="98">
        <f t="shared" si="9"/>
        <v>32.218560000000004</v>
      </c>
      <c r="P20" s="99">
        <f t="shared" si="10"/>
        <v>32.218560000000004</v>
      </c>
      <c r="Q20" s="176">
        <f t="shared" si="11"/>
        <v>0</v>
      </c>
      <c r="R20" s="100">
        <f t="shared" si="12"/>
        <v>0</v>
      </c>
      <c r="S20" s="184">
        <f t="shared" si="13"/>
        <v>0</v>
      </c>
    </row>
    <row r="21" spans="4:19" ht="21" customHeight="1">
      <c r="D21" s="78" t="s">
        <v>131</v>
      </c>
      <c r="E21" s="201" t="s">
        <v>211</v>
      </c>
      <c r="F21" s="90">
        <f t="shared" si="0"/>
        <v>52272</v>
      </c>
      <c r="G21" s="91">
        <f t="shared" si="1"/>
        <v>40</v>
      </c>
      <c r="H21" s="92">
        <f t="shared" si="2"/>
        <v>4</v>
      </c>
      <c r="I21" s="93">
        <f t="shared" si="3"/>
        <v>58.36282434782609</v>
      </c>
      <c r="J21" s="94">
        <f t="shared" si="4"/>
        <v>61.77186782608696</v>
      </c>
      <c r="K21" s="95">
        <f t="shared" si="5"/>
        <v>62.22640695652174</v>
      </c>
      <c r="L21" s="96">
        <f t="shared" si="6"/>
        <v>29.545043478260872</v>
      </c>
      <c r="M21" s="97">
        <f t="shared" si="7"/>
        <v>29.999582608695654</v>
      </c>
      <c r="N21" s="189">
        <f t="shared" si="8"/>
        <v>0.01538461538461533</v>
      </c>
      <c r="O21" s="98">
        <f t="shared" si="9"/>
        <v>32.22682434782609</v>
      </c>
      <c r="P21" s="99">
        <f t="shared" si="10"/>
        <v>32.22682434782609</v>
      </c>
      <c r="Q21" s="176">
        <f t="shared" si="11"/>
        <v>0</v>
      </c>
      <c r="R21" s="100">
        <f t="shared" si="12"/>
        <v>0.45453913043478167</v>
      </c>
      <c r="S21" s="184">
        <f t="shared" si="13"/>
        <v>0.007358351729212641</v>
      </c>
    </row>
    <row r="22" spans="4:19" ht="21" customHeight="1">
      <c r="D22" s="101" t="s">
        <v>143</v>
      </c>
      <c r="E22" s="199" t="s">
        <v>23</v>
      </c>
      <c r="F22" s="90">
        <f t="shared" si="0"/>
        <v>52272</v>
      </c>
      <c r="G22" s="91">
        <f t="shared" si="1"/>
        <v>40</v>
      </c>
      <c r="H22" s="92">
        <f t="shared" si="2"/>
        <v>4</v>
      </c>
      <c r="I22" s="93">
        <f t="shared" si="3"/>
        <v>58.59009391304348</v>
      </c>
      <c r="J22" s="94">
        <f t="shared" si="4"/>
        <v>62.90821565217392</v>
      </c>
      <c r="K22" s="95">
        <f t="shared" si="5"/>
        <v>63.817293913043486</v>
      </c>
      <c r="L22" s="96">
        <f t="shared" si="6"/>
        <v>30.68139130434783</v>
      </c>
      <c r="M22" s="97">
        <f t="shared" si="7"/>
        <v>31.590469565217393</v>
      </c>
      <c r="N22" s="189">
        <f t="shared" si="8"/>
        <v>0.029629629629629672</v>
      </c>
      <c r="O22" s="98">
        <f t="shared" si="9"/>
        <v>32.22682434782609</v>
      </c>
      <c r="P22" s="99">
        <f t="shared" si="10"/>
        <v>32.22682434782609</v>
      </c>
      <c r="Q22" s="176">
        <f t="shared" si="11"/>
        <v>0</v>
      </c>
      <c r="R22" s="100">
        <f t="shared" si="12"/>
        <v>0.9090782608695633</v>
      </c>
      <c r="S22" s="184">
        <f t="shared" si="13"/>
        <v>0.01445086705202309</v>
      </c>
    </row>
    <row r="23" spans="4:19" ht="21" customHeight="1">
      <c r="D23" s="102" t="s">
        <v>188</v>
      </c>
      <c r="E23" s="103" t="s">
        <v>234</v>
      </c>
      <c r="F23" s="90">
        <f t="shared" si="0"/>
        <v>52272</v>
      </c>
      <c r="G23" s="91">
        <f t="shared" si="1"/>
        <v>40</v>
      </c>
      <c r="H23" s="92">
        <f t="shared" si="2"/>
        <v>4</v>
      </c>
      <c r="I23" s="93">
        <f t="shared" si="3"/>
        <v>58.617820800000004</v>
      </c>
      <c r="J23" s="94">
        <f t="shared" si="4"/>
        <v>61.48232639999999</v>
      </c>
      <c r="K23" s="95">
        <f t="shared" si="5"/>
        <v>61.2732384</v>
      </c>
      <c r="L23" s="96">
        <f t="shared" si="6"/>
        <v>29.261865599999997</v>
      </c>
      <c r="M23" s="97">
        <f t="shared" si="7"/>
        <v>29.052777599999995</v>
      </c>
      <c r="N23" s="189">
        <f t="shared" si="8"/>
        <v>-0.00714540907466954</v>
      </c>
      <c r="O23" s="98">
        <f t="shared" si="9"/>
        <v>32.2204608</v>
      </c>
      <c r="P23" s="99">
        <f t="shared" si="10"/>
        <v>32.2204608</v>
      </c>
      <c r="Q23" s="176">
        <f t="shared" si="11"/>
        <v>0</v>
      </c>
      <c r="R23" s="100">
        <f t="shared" si="12"/>
        <v>-0.20908799999999417</v>
      </c>
      <c r="S23" s="184">
        <f t="shared" si="13"/>
        <v>-0.003400782179901283</v>
      </c>
    </row>
    <row r="24" spans="4:19" ht="21" customHeight="1">
      <c r="D24" s="102" t="s">
        <v>92</v>
      </c>
      <c r="E24" s="103" t="s">
        <v>178</v>
      </c>
      <c r="F24" s="90">
        <f t="shared" si="0"/>
        <v>52272</v>
      </c>
      <c r="G24" s="91">
        <f t="shared" si="1"/>
        <v>40</v>
      </c>
      <c r="H24" s="92">
        <f t="shared" si="2"/>
        <v>4</v>
      </c>
      <c r="I24" s="93">
        <f t="shared" si="3"/>
        <v>66.38543999999999</v>
      </c>
      <c r="J24" s="94">
        <f t="shared" si="4"/>
        <v>63.34416</v>
      </c>
      <c r="K24" s="95">
        <f t="shared" si="5"/>
        <v>64.53216</v>
      </c>
      <c r="L24" s="96">
        <f t="shared" si="6"/>
        <v>31.125600000000002</v>
      </c>
      <c r="M24" s="97">
        <f t="shared" si="7"/>
        <v>32.3136</v>
      </c>
      <c r="N24" s="189">
        <f t="shared" si="8"/>
        <v>0.03816793893129766</v>
      </c>
      <c r="O24" s="98">
        <f t="shared" si="9"/>
        <v>32.218560000000004</v>
      </c>
      <c r="P24" s="99">
        <f t="shared" si="10"/>
        <v>32.218560000000004</v>
      </c>
      <c r="Q24" s="176">
        <f t="shared" si="11"/>
        <v>0</v>
      </c>
      <c r="R24" s="100">
        <f t="shared" si="12"/>
        <v>1.1880000000000024</v>
      </c>
      <c r="S24" s="184">
        <f t="shared" si="13"/>
        <v>0.01875468867216808</v>
      </c>
    </row>
    <row r="25" spans="4:19" ht="21" customHeight="1">
      <c r="D25" s="102" t="s">
        <v>158</v>
      </c>
      <c r="E25" s="103" t="s">
        <v>19</v>
      </c>
      <c r="F25" s="90">
        <f t="shared" si="0"/>
        <v>52272</v>
      </c>
      <c r="G25" s="91">
        <f t="shared" si="1"/>
        <v>40</v>
      </c>
      <c r="H25" s="92">
        <f t="shared" si="2"/>
        <v>4</v>
      </c>
      <c r="I25" s="93">
        <f t="shared" si="3"/>
        <v>65.287728</v>
      </c>
      <c r="J25" s="94">
        <f t="shared" si="4"/>
        <v>52.681085217391306</v>
      </c>
      <c r="K25" s="95">
        <f t="shared" si="5"/>
        <v>52.681085217391306</v>
      </c>
      <c r="L25" s="96">
        <f t="shared" si="6"/>
        <v>20.454260869565218</v>
      </c>
      <c r="M25" s="97">
        <f t="shared" si="7"/>
        <v>20.454260869565218</v>
      </c>
      <c r="N25" s="189">
        <f t="shared" si="8"/>
        <v>0</v>
      </c>
      <c r="O25" s="98">
        <f t="shared" si="9"/>
        <v>32.22682434782609</v>
      </c>
      <c r="P25" s="99">
        <f t="shared" si="10"/>
        <v>32.22682434782609</v>
      </c>
      <c r="Q25" s="176">
        <f t="shared" si="11"/>
        <v>0</v>
      </c>
      <c r="R25" s="100">
        <f t="shared" si="12"/>
        <v>0</v>
      </c>
      <c r="S25" s="184">
        <f t="shared" si="13"/>
        <v>0</v>
      </c>
    </row>
    <row r="26" spans="4:19" ht="21" customHeight="1">
      <c r="D26" s="102" t="s">
        <v>159</v>
      </c>
      <c r="E26" s="103" t="s">
        <v>212</v>
      </c>
      <c r="F26" s="90">
        <f t="shared" si="0"/>
        <v>52272</v>
      </c>
      <c r="G26" s="91">
        <f t="shared" si="1"/>
        <v>40</v>
      </c>
      <c r="H26" s="92">
        <f t="shared" si="2"/>
        <v>4</v>
      </c>
      <c r="I26" s="93">
        <f t="shared" si="3"/>
        <v>56.77193739130435</v>
      </c>
      <c r="J26" s="94">
        <f t="shared" si="4"/>
        <v>52.681085217391306</v>
      </c>
      <c r="K26" s="95">
        <f t="shared" si="5"/>
        <v>52.681085217391306</v>
      </c>
      <c r="L26" s="96">
        <f t="shared" si="6"/>
        <v>20.454260869565218</v>
      </c>
      <c r="M26" s="97">
        <f t="shared" si="7"/>
        <v>20.454260869565218</v>
      </c>
      <c r="N26" s="189">
        <f t="shared" si="8"/>
        <v>0</v>
      </c>
      <c r="O26" s="98">
        <f t="shared" si="9"/>
        <v>32.22682434782609</v>
      </c>
      <c r="P26" s="99">
        <f t="shared" si="10"/>
        <v>32.22682434782609</v>
      </c>
      <c r="Q26" s="176">
        <f t="shared" si="11"/>
        <v>0</v>
      </c>
      <c r="R26" s="100">
        <f t="shared" si="12"/>
        <v>0</v>
      </c>
      <c r="S26" s="184">
        <f t="shared" si="13"/>
        <v>0</v>
      </c>
    </row>
    <row r="27" spans="4:19" ht="21" customHeight="1" thickBot="1">
      <c r="D27" s="104" t="s">
        <v>160</v>
      </c>
      <c r="E27" s="105" t="s">
        <v>114</v>
      </c>
      <c r="F27" s="106">
        <f t="shared" si="0"/>
        <v>52272</v>
      </c>
      <c r="G27" s="91">
        <f t="shared" si="1"/>
        <v>40</v>
      </c>
      <c r="H27" s="92">
        <f t="shared" si="2"/>
        <v>4</v>
      </c>
      <c r="I27" s="93">
        <f t="shared" si="3"/>
        <v>58.59009391304348</v>
      </c>
      <c r="J27" s="107">
        <f t="shared" si="4"/>
        <v>62.680946086956524</v>
      </c>
      <c r="K27" s="108">
        <f t="shared" si="5"/>
        <v>64.49910260869567</v>
      </c>
      <c r="L27" s="109">
        <f t="shared" si="6"/>
        <v>30.454121739130436</v>
      </c>
      <c r="M27" s="110">
        <f t="shared" si="7"/>
        <v>32.27227826086957</v>
      </c>
      <c r="N27" s="190">
        <f t="shared" si="8"/>
        <v>0.059701492537313605</v>
      </c>
      <c r="O27" s="111">
        <f t="shared" si="9"/>
        <v>32.22682434782609</v>
      </c>
      <c r="P27" s="112">
        <f t="shared" si="10"/>
        <v>32.22682434782609</v>
      </c>
      <c r="Q27" s="177">
        <f t="shared" si="11"/>
        <v>0</v>
      </c>
      <c r="R27" s="113">
        <f t="shared" si="12"/>
        <v>1.8181565217391409</v>
      </c>
      <c r="S27" s="185">
        <f t="shared" si="13"/>
        <v>0.029006526468455567</v>
      </c>
    </row>
    <row r="28" spans="3:65" s="4" customFormat="1" ht="6.75" customHeight="1">
      <c r="C28" s="41"/>
      <c r="D28" s="41"/>
      <c r="E28" s="41"/>
      <c r="F28" s="75"/>
      <c r="G28" s="41"/>
      <c r="H28" s="41"/>
      <c r="I28" s="42"/>
      <c r="J28" s="13"/>
      <c r="K28" s="13"/>
      <c r="L28" s="44"/>
      <c r="M28" s="44"/>
      <c r="N28" s="179"/>
      <c r="O28" s="45"/>
      <c r="P28" s="46"/>
      <c r="Q28" s="178"/>
      <c r="R28" s="43"/>
      <c r="S28" s="179"/>
      <c r="T28" s="3"/>
      <c r="U28" s="41"/>
      <c r="W28" s="3"/>
      <c r="X28" s="12"/>
      <c r="Y28" s="12"/>
      <c r="Z28" s="12"/>
      <c r="AA28" s="12"/>
      <c r="AB28" s="12"/>
      <c r="AC28" s="12"/>
      <c r="AD28" s="12"/>
      <c r="AE28" s="12"/>
      <c r="AF28" s="12"/>
      <c r="AG28" s="13"/>
      <c r="AH28" s="13"/>
      <c r="AI28" s="13"/>
      <c r="AJ28" s="12"/>
      <c r="AK28" s="12"/>
      <c r="AL28" s="12"/>
      <c r="AM28" s="12"/>
      <c r="AN28" s="12"/>
      <c r="AO28" s="12"/>
      <c r="AP28" s="65"/>
      <c r="AQ28" s="12"/>
      <c r="AR28" s="65"/>
      <c r="AS28" s="12"/>
      <c r="AT28" s="13"/>
      <c r="AU28" s="13"/>
      <c r="AV28" s="13"/>
      <c r="AW28" s="13"/>
      <c r="AX28" s="13"/>
      <c r="AY28" s="3"/>
      <c r="AZ28" s="3"/>
      <c r="BA28" s="12"/>
      <c r="BB28" s="12"/>
      <c r="BC28" s="12"/>
      <c r="BD28" s="12"/>
      <c r="BE28" s="12"/>
      <c r="BH28" s="12"/>
      <c r="BM28" s="14"/>
    </row>
    <row r="29" spans="4:65" s="4" customFormat="1" ht="13.5" customHeight="1">
      <c r="D29" s="4" t="s">
        <v>9</v>
      </c>
      <c r="F29" s="76"/>
      <c r="G29" s="48"/>
      <c r="H29" s="49"/>
      <c r="I29" s="42"/>
      <c r="J29" s="13"/>
      <c r="K29" s="13"/>
      <c r="L29" s="44"/>
      <c r="M29" s="44"/>
      <c r="N29" s="179"/>
      <c r="O29" s="45"/>
      <c r="P29" s="46"/>
      <c r="Q29" s="178"/>
      <c r="R29" s="43"/>
      <c r="S29" s="179"/>
      <c r="T29" s="3"/>
      <c r="W29" s="3"/>
      <c r="X29" s="12"/>
      <c r="Y29" s="12"/>
      <c r="Z29" s="12"/>
      <c r="AA29" s="12"/>
      <c r="AB29" s="12"/>
      <c r="AC29" s="12"/>
      <c r="AD29" s="12"/>
      <c r="AE29" s="12"/>
      <c r="AF29" s="12"/>
      <c r="AG29" s="13"/>
      <c r="AH29" s="13"/>
      <c r="AI29" s="13"/>
      <c r="AJ29" s="12"/>
      <c r="AK29" s="12"/>
      <c r="AL29" s="12"/>
      <c r="AM29" s="12"/>
      <c r="AN29" s="12"/>
      <c r="AO29" s="12"/>
      <c r="AP29" s="65"/>
      <c r="AQ29" s="12"/>
      <c r="AR29" s="65"/>
      <c r="AS29" s="12"/>
      <c r="AT29" s="13"/>
      <c r="AU29" s="13"/>
      <c r="AV29" s="13"/>
      <c r="AW29" s="13"/>
      <c r="AX29" s="13"/>
      <c r="AY29" s="3"/>
      <c r="AZ29" s="3"/>
      <c r="BA29" s="12"/>
      <c r="BB29" s="12"/>
      <c r="BC29" s="12"/>
      <c r="BD29" s="12"/>
      <c r="BE29" s="12"/>
      <c r="BH29" s="12"/>
      <c r="BM29" s="14"/>
    </row>
    <row r="30" spans="1:65" s="165" customFormat="1" ht="18" customHeight="1">
      <c r="A30" s="198"/>
      <c r="B30" s="198"/>
      <c r="C30" s="198"/>
      <c r="D30" s="4" t="s">
        <v>168</v>
      </c>
      <c r="E30" s="4"/>
      <c r="F30" s="76"/>
      <c r="G30" s="48"/>
      <c r="H30" s="49"/>
      <c r="I30" s="42"/>
      <c r="J30" s="13"/>
      <c r="K30" s="13"/>
      <c r="L30" s="44"/>
      <c r="M30" s="44"/>
      <c r="N30" s="179"/>
      <c r="O30" s="45"/>
      <c r="P30" s="46"/>
      <c r="Q30" s="179"/>
      <c r="R30" s="43"/>
      <c r="S30" s="179"/>
      <c r="T30" s="198"/>
      <c r="U30" s="198"/>
      <c r="V30" s="198"/>
      <c r="W30" s="198"/>
      <c r="X30" s="167"/>
      <c r="Y30" s="167"/>
      <c r="Z30" s="167"/>
      <c r="AA30" s="167"/>
      <c r="AB30" s="167"/>
      <c r="AC30" s="167"/>
      <c r="AD30" s="167"/>
      <c r="AE30" s="167"/>
      <c r="AF30" s="167"/>
      <c r="AG30" s="168"/>
      <c r="AH30" s="168"/>
      <c r="AI30" s="168"/>
      <c r="AJ30" s="167"/>
      <c r="AK30" s="167"/>
      <c r="AL30" s="167"/>
      <c r="AM30" s="167"/>
      <c r="AN30" s="167"/>
      <c r="AO30" s="167"/>
      <c r="AP30" s="169"/>
      <c r="AQ30" s="167"/>
      <c r="AR30" s="169"/>
      <c r="AS30" s="167"/>
      <c r="AT30" s="168"/>
      <c r="AU30" s="168"/>
      <c r="AV30" s="168"/>
      <c r="AW30" s="168"/>
      <c r="AX30" s="168"/>
      <c r="AY30" s="166"/>
      <c r="AZ30" s="166"/>
      <c r="BA30" s="167"/>
      <c r="BB30" s="167"/>
      <c r="BC30" s="167"/>
      <c r="BD30" s="167"/>
      <c r="BE30" s="167"/>
      <c r="BH30" s="167"/>
      <c r="BM30" s="170"/>
    </row>
    <row r="31" spans="4:65" s="165" customFormat="1" ht="18" customHeight="1">
      <c r="D31" s="4" t="s">
        <v>91</v>
      </c>
      <c r="E31" s="4"/>
      <c r="F31" s="76"/>
      <c r="G31" s="48"/>
      <c r="H31" s="49"/>
      <c r="I31" s="42"/>
      <c r="J31" s="13"/>
      <c r="K31" s="13"/>
      <c r="L31" s="44"/>
      <c r="M31" s="44"/>
      <c r="N31" s="179"/>
      <c r="O31" s="45"/>
      <c r="P31" s="46"/>
      <c r="Q31" s="179"/>
      <c r="R31" s="43"/>
      <c r="S31" s="179"/>
      <c r="T31" s="166"/>
      <c r="W31" s="166"/>
      <c r="X31" s="167"/>
      <c r="Y31" s="167"/>
      <c r="Z31" s="167"/>
      <c r="AA31" s="167"/>
      <c r="AB31" s="167"/>
      <c r="AC31" s="167"/>
      <c r="AD31" s="167"/>
      <c r="AE31" s="167"/>
      <c r="AF31" s="167"/>
      <c r="AG31" s="168"/>
      <c r="AH31" s="168"/>
      <c r="AI31" s="168"/>
      <c r="AJ31" s="167"/>
      <c r="AK31" s="167"/>
      <c r="AL31" s="167"/>
      <c r="AM31" s="167"/>
      <c r="AN31" s="167"/>
      <c r="AO31" s="167"/>
      <c r="AP31" s="169"/>
      <c r="AQ31" s="167"/>
      <c r="AR31" s="169"/>
      <c r="AS31" s="167"/>
      <c r="AT31" s="168"/>
      <c r="AU31" s="168"/>
      <c r="AV31" s="168"/>
      <c r="AW31" s="168"/>
      <c r="AX31" s="168"/>
      <c r="AY31" s="166"/>
      <c r="AZ31" s="166"/>
      <c r="BA31" s="167"/>
      <c r="BB31" s="167"/>
      <c r="BC31" s="167"/>
      <c r="BD31" s="167"/>
      <c r="BE31" s="167"/>
      <c r="BH31" s="167"/>
      <c r="BM31" s="170"/>
    </row>
    <row r="32" spans="4:65" s="165" customFormat="1" ht="18" customHeight="1">
      <c r="D32" s="4" t="s">
        <v>113</v>
      </c>
      <c r="E32" s="4"/>
      <c r="F32" s="76"/>
      <c r="G32" s="48"/>
      <c r="H32" s="49"/>
      <c r="I32" s="42"/>
      <c r="J32" s="13"/>
      <c r="K32" s="13"/>
      <c r="L32" s="44"/>
      <c r="M32" s="44"/>
      <c r="N32" s="179"/>
      <c r="O32" s="45"/>
      <c r="P32" s="46"/>
      <c r="Q32" s="179"/>
      <c r="R32" s="43"/>
      <c r="S32" s="179"/>
      <c r="T32" s="166"/>
      <c r="W32" s="166"/>
      <c r="X32" s="167"/>
      <c r="Y32" s="167"/>
      <c r="Z32" s="167"/>
      <c r="AA32" s="167"/>
      <c r="AB32" s="167"/>
      <c r="AC32" s="167"/>
      <c r="AD32" s="167"/>
      <c r="AE32" s="167"/>
      <c r="AF32" s="167"/>
      <c r="AG32" s="168"/>
      <c r="AH32" s="168"/>
      <c r="AI32" s="168"/>
      <c r="AJ32" s="167"/>
      <c r="AK32" s="167"/>
      <c r="AL32" s="167"/>
      <c r="AM32" s="167"/>
      <c r="AN32" s="167"/>
      <c r="AO32" s="167"/>
      <c r="AP32" s="169"/>
      <c r="AQ32" s="167"/>
      <c r="AR32" s="169"/>
      <c r="AS32" s="167"/>
      <c r="AT32" s="168"/>
      <c r="AU32" s="168"/>
      <c r="AV32" s="168"/>
      <c r="AW32" s="168"/>
      <c r="AX32" s="168"/>
      <c r="AY32" s="166"/>
      <c r="AZ32" s="166"/>
      <c r="BA32" s="167"/>
      <c r="BB32" s="167"/>
      <c r="BC32" s="167"/>
      <c r="BD32" s="167"/>
      <c r="BE32" s="167"/>
      <c r="BH32" s="167"/>
      <c r="BM32" s="170"/>
    </row>
    <row r="33" spans="4:65" s="165" customFormat="1" ht="16.5" customHeight="1">
      <c r="D33" s="222" t="s">
        <v>201</v>
      </c>
      <c r="E33" s="4"/>
      <c r="F33" s="76"/>
      <c r="G33" s="48"/>
      <c r="H33" s="49"/>
      <c r="I33" s="42"/>
      <c r="J33" s="13"/>
      <c r="K33" s="13"/>
      <c r="L33" s="44"/>
      <c r="M33" s="44"/>
      <c r="N33" s="179"/>
      <c r="O33" s="45"/>
      <c r="P33" s="46"/>
      <c r="Q33" s="179"/>
      <c r="R33" s="43"/>
      <c r="S33" s="179"/>
      <c r="T33" s="166"/>
      <c r="W33" s="166"/>
      <c r="X33" s="167"/>
      <c r="Y33" s="167"/>
      <c r="Z33" s="167"/>
      <c r="AA33" s="167"/>
      <c r="AB33" s="167"/>
      <c r="AC33" s="167"/>
      <c r="AD33" s="167"/>
      <c r="AE33" s="167"/>
      <c r="AF33" s="167"/>
      <c r="AG33" s="168"/>
      <c r="AH33" s="168"/>
      <c r="AI33" s="168"/>
      <c r="AJ33" s="167"/>
      <c r="AK33" s="167"/>
      <c r="AL33" s="167"/>
      <c r="AM33" s="167"/>
      <c r="AN33" s="167"/>
      <c r="AO33" s="167"/>
      <c r="AP33" s="169"/>
      <c r="AQ33" s="167"/>
      <c r="AR33" s="169"/>
      <c r="AS33" s="167"/>
      <c r="AT33" s="168"/>
      <c r="AU33" s="168"/>
      <c r="AV33" s="168"/>
      <c r="AW33" s="168"/>
      <c r="AX33" s="168"/>
      <c r="AY33" s="166"/>
      <c r="AZ33" s="166"/>
      <c r="BA33" s="167"/>
      <c r="BB33" s="167"/>
      <c r="BC33" s="167"/>
      <c r="BD33" s="167"/>
      <c r="BE33" s="167"/>
      <c r="BH33" s="167"/>
      <c r="BM33" s="170"/>
    </row>
    <row r="34" spans="4:65" s="165" customFormat="1" ht="9" customHeight="1"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166"/>
      <c r="W34" s="166"/>
      <c r="X34" s="167"/>
      <c r="Y34" s="167"/>
      <c r="Z34" s="167"/>
      <c r="AA34" s="167"/>
      <c r="AB34" s="167"/>
      <c r="AC34" s="167"/>
      <c r="AD34" s="167"/>
      <c r="AE34" s="167"/>
      <c r="AF34" s="167"/>
      <c r="AG34" s="168"/>
      <c r="AH34" s="168"/>
      <c r="AI34" s="168"/>
      <c r="AJ34" s="167"/>
      <c r="AK34" s="167"/>
      <c r="AL34" s="167"/>
      <c r="AM34" s="167"/>
      <c r="AN34" s="167"/>
      <c r="AO34" s="167"/>
      <c r="AP34" s="169"/>
      <c r="AQ34" s="167"/>
      <c r="AR34" s="169"/>
      <c r="AS34" s="167"/>
      <c r="AT34" s="168"/>
      <c r="AU34" s="168"/>
      <c r="AV34" s="168"/>
      <c r="AW34" s="168"/>
      <c r="AX34" s="168"/>
      <c r="AY34" s="166"/>
      <c r="AZ34" s="166"/>
      <c r="BA34" s="167"/>
      <c r="BB34" s="167"/>
      <c r="BC34" s="167"/>
      <c r="BD34" s="167"/>
      <c r="BE34" s="167"/>
      <c r="BH34" s="167"/>
      <c r="BM34" s="170"/>
    </row>
    <row r="35" spans="4:65" s="4" customFormat="1" ht="7.5" customHeight="1" thickBot="1"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3"/>
      <c r="W35" s="3"/>
      <c r="X35" s="12"/>
      <c r="Y35" s="12"/>
      <c r="Z35" s="12"/>
      <c r="AA35" s="12"/>
      <c r="AB35" s="12"/>
      <c r="AC35" s="12"/>
      <c r="AD35" s="12"/>
      <c r="AE35" s="12"/>
      <c r="AF35" s="12"/>
      <c r="AG35" s="13"/>
      <c r="AH35" s="13"/>
      <c r="AI35" s="13"/>
      <c r="AJ35" s="12"/>
      <c r="AK35" s="12"/>
      <c r="AL35" s="12"/>
      <c r="AM35" s="12"/>
      <c r="AN35" s="12"/>
      <c r="AO35" s="12"/>
      <c r="AP35" s="65"/>
      <c r="AQ35" s="12"/>
      <c r="AR35" s="65"/>
      <c r="AS35" s="12"/>
      <c r="AT35" s="13"/>
      <c r="AU35" s="13"/>
      <c r="AV35" s="13"/>
      <c r="AW35" s="13"/>
      <c r="AX35" s="13"/>
      <c r="AY35" s="3"/>
      <c r="AZ35" s="3"/>
      <c r="BA35" s="12"/>
      <c r="BB35" s="12"/>
      <c r="BC35" s="12"/>
      <c r="BD35" s="12"/>
      <c r="BE35" s="12"/>
      <c r="BH35" s="12"/>
      <c r="BM35" s="14"/>
    </row>
    <row r="36" spans="4:19" ht="18" customHeight="1" thickBot="1" thickTop="1">
      <c r="D36" s="193" t="s">
        <v>86</v>
      </c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5"/>
    </row>
    <row r="37" spans="4:61" ht="18" customHeight="1">
      <c r="D37" s="131"/>
      <c r="E37" s="132"/>
      <c r="F37" s="120" t="s">
        <v>121</v>
      </c>
      <c r="G37" s="121" t="s">
        <v>125</v>
      </c>
      <c r="H37" s="133" t="s">
        <v>66</v>
      </c>
      <c r="I37" s="134" t="s">
        <v>126</v>
      </c>
      <c r="J37" s="229" t="s">
        <v>126</v>
      </c>
      <c r="K37" s="230"/>
      <c r="L37" s="231" t="s">
        <v>4</v>
      </c>
      <c r="M37" s="232"/>
      <c r="N37" s="233"/>
      <c r="O37" s="234" t="s">
        <v>167</v>
      </c>
      <c r="P37" s="235"/>
      <c r="Q37" s="236"/>
      <c r="R37" s="237" t="s">
        <v>0</v>
      </c>
      <c r="S37" s="238"/>
      <c r="T37" s="1"/>
      <c r="W37" s="1"/>
      <c r="X37" s="23" t="s">
        <v>62</v>
      </c>
      <c r="Y37" s="23" t="s">
        <v>62</v>
      </c>
      <c r="Z37" s="23" t="s">
        <v>62</v>
      </c>
      <c r="AA37" s="23" t="s">
        <v>63</v>
      </c>
      <c r="AB37" s="23"/>
      <c r="AC37" s="23" t="s">
        <v>63</v>
      </c>
      <c r="AD37" s="23"/>
      <c r="AE37" s="23" t="s">
        <v>63</v>
      </c>
      <c r="AF37" s="23"/>
      <c r="AG37" s="24" t="s">
        <v>64</v>
      </c>
      <c r="AH37" s="24" t="s">
        <v>64</v>
      </c>
      <c r="AI37" s="24" t="s">
        <v>64</v>
      </c>
      <c r="AJ37" s="135" t="s">
        <v>41</v>
      </c>
      <c r="AK37" s="26"/>
      <c r="AL37" s="135" t="s">
        <v>225</v>
      </c>
      <c r="AM37" s="26"/>
      <c r="AN37" s="135" t="s">
        <v>146</v>
      </c>
      <c r="AO37" s="26"/>
      <c r="AP37" s="67">
        <v>2009</v>
      </c>
      <c r="AQ37" s="23" t="s">
        <v>147</v>
      </c>
      <c r="AR37" s="67">
        <v>2010</v>
      </c>
      <c r="AS37" s="23" t="s">
        <v>148</v>
      </c>
      <c r="AT37" s="239" t="s">
        <v>31</v>
      </c>
      <c r="AU37" s="240"/>
      <c r="AV37" s="241"/>
      <c r="AW37" s="242" t="s">
        <v>32</v>
      </c>
      <c r="AX37" s="243"/>
      <c r="AY37" s="244"/>
      <c r="AZ37" s="13" t="s">
        <v>195</v>
      </c>
      <c r="BA37" s="136">
        <v>2011</v>
      </c>
      <c r="BB37" s="136">
        <v>2011</v>
      </c>
      <c r="BC37" s="136">
        <v>2011</v>
      </c>
      <c r="BD37" s="136">
        <v>2011</v>
      </c>
      <c r="BE37" s="136">
        <v>2011</v>
      </c>
      <c r="BF37" s="136">
        <v>2010</v>
      </c>
      <c r="BG37" s="136">
        <v>2010</v>
      </c>
      <c r="BH37" s="136">
        <v>2010</v>
      </c>
      <c r="BI37" s="136">
        <v>2010</v>
      </c>
    </row>
    <row r="38" spans="4:65" ht="15" customHeight="1" thickBot="1">
      <c r="D38" s="137" t="s">
        <v>151</v>
      </c>
      <c r="E38" s="138" t="s">
        <v>152</v>
      </c>
      <c r="F38" s="123" t="s">
        <v>153</v>
      </c>
      <c r="G38" s="124" t="s">
        <v>154</v>
      </c>
      <c r="H38" s="139" t="s">
        <v>155</v>
      </c>
      <c r="I38" s="140">
        <v>2003</v>
      </c>
      <c r="J38" s="126">
        <f>$Y$38</f>
        <v>2010</v>
      </c>
      <c r="K38" s="127">
        <f>$Z$38</f>
        <v>2011</v>
      </c>
      <c r="L38" s="128">
        <f>$Y$38</f>
        <v>2010</v>
      </c>
      <c r="M38" s="129">
        <f>$Z$38</f>
        <v>2011</v>
      </c>
      <c r="N38" s="187" t="s">
        <v>161</v>
      </c>
      <c r="O38" s="141">
        <f>$Y$38</f>
        <v>2010</v>
      </c>
      <c r="P38" s="142">
        <f>$Z$38</f>
        <v>2011</v>
      </c>
      <c r="Q38" s="173" t="s">
        <v>161</v>
      </c>
      <c r="R38" s="130" t="s">
        <v>156</v>
      </c>
      <c r="S38" s="182" t="s">
        <v>161</v>
      </c>
      <c r="X38" s="143">
        <v>2009</v>
      </c>
      <c r="Y38" s="143">
        <v>2010</v>
      </c>
      <c r="Z38" s="143">
        <v>2011</v>
      </c>
      <c r="AA38" s="26">
        <v>2009</v>
      </c>
      <c r="AB38" s="26" t="s">
        <v>84</v>
      </c>
      <c r="AC38" s="26">
        <v>2010</v>
      </c>
      <c r="AD38" s="26" t="s">
        <v>224</v>
      </c>
      <c r="AE38" s="26">
        <v>2011</v>
      </c>
      <c r="AF38" s="26" t="s">
        <v>145</v>
      </c>
      <c r="AG38" s="143">
        <v>2009</v>
      </c>
      <c r="AH38" s="143">
        <v>2010</v>
      </c>
      <c r="AI38" s="143">
        <v>2011</v>
      </c>
      <c r="AJ38" s="26" t="s">
        <v>165</v>
      </c>
      <c r="AK38" s="26" t="s">
        <v>65</v>
      </c>
      <c r="AL38" s="26" t="s">
        <v>165</v>
      </c>
      <c r="AM38" s="26" t="s">
        <v>65</v>
      </c>
      <c r="AN38" s="26" t="s">
        <v>165</v>
      </c>
      <c r="AO38" s="26" t="s">
        <v>65</v>
      </c>
      <c r="AP38" s="67" t="s">
        <v>65</v>
      </c>
      <c r="AQ38" s="23" t="s">
        <v>226</v>
      </c>
      <c r="AR38" s="67" t="s">
        <v>65</v>
      </c>
      <c r="AS38" s="23" t="s">
        <v>227</v>
      </c>
      <c r="AT38" s="28" t="s">
        <v>66</v>
      </c>
      <c r="AU38" s="28" t="s">
        <v>63</v>
      </c>
      <c r="AV38" s="28" t="s">
        <v>64</v>
      </c>
      <c r="AW38" s="24" t="s">
        <v>66</v>
      </c>
      <c r="AX38" s="24" t="s">
        <v>63</v>
      </c>
      <c r="AY38" s="24" t="s">
        <v>67</v>
      </c>
      <c r="AZ38" s="13" t="s">
        <v>196</v>
      </c>
      <c r="BA38" s="5" t="s">
        <v>162</v>
      </c>
      <c r="BB38" s="5" t="s">
        <v>153</v>
      </c>
      <c r="BC38" s="5" t="s">
        <v>163</v>
      </c>
      <c r="BD38" s="5" t="s">
        <v>237</v>
      </c>
      <c r="BE38" s="5" t="s">
        <v>117</v>
      </c>
      <c r="BF38" s="5" t="s">
        <v>162</v>
      </c>
      <c r="BG38" s="5" t="s">
        <v>238</v>
      </c>
      <c r="BH38" s="5" t="s">
        <v>163</v>
      </c>
      <c r="BI38" s="1" t="s">
        <v>239</v>
      </c>
      <c r="BK38" s="1" t="s">
        <v>118</v>
      </c>
      <c r="BL38" s="1" t="s">
        <v>119</v>
      </c>
      <c r="BM38" s="7" t="s">
        <v>120</v>
      </c>
    </row>
    <row r="39" spans="4:52" ht="3.75" customHeight="1" thickBot="1">
      <c r="D39" s="53"/>
      <c r="E39" s="144"/>
      <c r="F39" s="74"/>
      <c r="G39" s="55"/>
      <c r="H39" s="56"/>
      <c r="I39" s="57"/>
      <c r="J39" s="58"/>
      <c r="K39" s="59"/>
      <c r="L39" s="60"/>
      <c r="M39" s="61"/>
      <c r="N39" s="174"/>
      <c r="O39" s="62"/>
      <c r="P39" s="63"/>
      <c r="Q39" s="174"/>
      <c r="R39" s="64"/>
      <c r="S39" s="174"/>
      <c r="X39" s="145"/>
      <c r="Y39" s="145"/>
      <c r="Z39" s="145"/>
      <c r="AA39" s="145"/>
      <c r="AB39" s="145"/>
      <c r="AC39" s="145"/>
      <c r="AD39" s="145"/>
      <c r="AE39" s="145"/>
      <c r="AF39" s="145"/>
      <c r="AG39" s="146"/>
      <c r="AH39" s="146"/>
      <c r="AI39" s="146"/>
      <c r="AJ39" s="145"/>
      <c r="AK39" s="145"/>
      <c r="AL39" s="145"/>
      <c r="AM39" s="145"/>
      <c r="AN39" s="145"/>
      <c r="AO39" s="145"/>
      <c r="AP39" s="147"/>
      <c r="AQ39" s="145"/>
      <c r="AR39" s="147"/>
      <c r="AS39" s="145"/>
      <c r="AT39" s="146"/>
      <c r="AU39" s="146"/>
      <c r="AV39" s="146"/>
      <c r="AW39" s="146"/>
      <c r="AX39" s="146"/>
      <c r="AY39" s="146"/>
      <c r="AZ39" s="148"/>
    </row>
    <row r="40" spans="3:66" ht="15.75" customHeight="1">
      <c r="C40" s="29"/>
      <c r="D40" s="159" t="s">
        <v>191</v>
      </c>
      <c r="E40" s="1" t="s">
        <v>38</v>
      </c>
      <c r="F40" s="79">
        <f aca="true" t="shared" si="14" ref="F40:F57">IF($J$11&gt;0,$J$11,$M$11)</f>
        <v>52272</v>
      </c>
      <c r="G40" s="80">
        <f aca="true" t="shared" si="15" ref="G40:G57">$K$11</f>
        <v>40</v>
      </c>
      <c r="H40" s="149">
        <f aca="true" t="shared" si="16" ref="H40:H57">$L$11</f>
        <v>4</v>
      </c>
      <c r="I40" s="150">
        <f aca="true" t="shared" si="17" ref="I40:I57">IF(AK40="","",IF($F40&gt;0,($F40/$AK40)*AG40,IF($G40&gt;0,(((43560/($G40/12))*$H40)/$AK40)*AG40,0)))</f>
      </c>
      <c r="J40" s="83">
        <f aca="true" t="shared" si="18" ref="J40:J57">BI40</f>
        <v>0</v>
      </c>
      <c r="K40" s="84">
        <f aca="true" t="shared" si="19" ref="K40:K57">BD40</f>
        <v>66.50424000000001</v>
      </c>
      <c r="L40" s="151">
        <f aca="true" t="shared" si="20" ref="L40:L57">BG40</f>
      </c>
      <c r="M40" s="152">
        <f aca="true" t="shared" si="21" ref="M40:M57">BB40</f>
        <v>25.660800000000002</v>
      </c>
      <c r="N40" s="188" t="str">
        <f aca="true" t="shared" si="22" ref="N40:N57">IF(R40="New","New",(M40/L40)-1)</f>
        <v>New</v>
      </c>
      <c r="O40" s="153">
        <f aca="true" t="shared" si="23" ref="O40:O57">IF(AW40="","",BH40)</f>
      </c>
      <c r="P40" s="154">
        <f aca="true" t="shared" si="24" ref="P40:P57">IF(BC40="","",BC40)</f>
        <v>40.84344</v>
      </c>
      <c r="Q40" s="176" t="str">
        <f aca="true" t="shared" si="25" ref="Q40:Q57">IF(R40="New","New",IF(AX40="","",(P40/O40)-1))</f>
        <v>New</v>
      </c>
      <c r="R40" s="100" t="str">
        <f aca="true" t="shared" si="26" ref="R40:R57">IF(J40="","New",IF(J40=0,"New",K40-J40))</f>
        <v>New</v>
      </c>
      <c r="S40" s="184">
        <f aca="true" t="shared" si="27" ref="S40:S57">IF(R40="New","",R40/J40)</f>
      </c>
      <c r="U40" s="207" t="s">
        <v>140</v>
      </c>
      <c r="V40" s="4" t="s">
        <v>12</v>
      </c>
      <c r="X40" s="161"/>
      <c r="Y40" s="161"/>
      <c r="Z40" s="161">
        <v>108</v>
      </c>
      <c r="AA40" s="161"/>
      <c r="AB40" s="161"/>
      <c r="AC40" s="161"/>
      <c r="AD40" s="161"/>
      <c r="AE40" s="161">
        <v>171.9</v>
      </c>
      <c r="AF40" s="161"/>
      <c r="AG40" s="32">
        <f aca="true" t="shared" si="28" ref="AG40:AG57">X40+(AA40+AB40)</f>
        <v>0</v>
      </c>
      <c r="AH40" s="32">
        <f aca="true" t="shared" si="29" ref="AH40:AH57">Y40+(AC40+AD40)</f>
        <v>0</v>
      </c>
      <c r="AI40" s="32">
        <f aca="true" t="shared" si="30" ref="AI40:AI57">Z40+(AE40+AF40)</f>
        <v>279.9</v>
      </c>
      <c r="AJ40" s="33"/>
      <c r="AK40" s="160"/>
      <c r="AL40" s="33"/>
      <c r="AM40" s="160">
        <v>220000</v>
      </c>
      <c r="AN40" s="33"/>
      <c r="AO40" s="160">
        <v>220000</v>
      </c>
      <c r="AP40" s="67">
        <f aca="true" t="shared" si="31" ref="AP40:AP57">AK40</f>
        <v>0</v>
      </c>
      <c r="AQ40" s="34" t="str">
        <f aca="true" t="shared" si="32" ref="AQ40:AQ57">IF(AK40&gt;0,AM40/AK40*100,"Not Avail.")</f>
        <v>Not Avail.</v>
      </c>
      <c r="AR40" s="67">
        <f aca="true" t="shared" si="33" ref="AR40:AR57">AM40</f>
        <v>220000</v>
      </c>
      <c r="AS40" s="34">
        <f aca="true" t="shared" si="34" ref="AS40:AS57">IF(AM40&gt;0,AO40/AM40*100,"Not Avail.")</f>
        <v>100</v>
      </c>
      <c r="AT40" s="28">
        <f aca="true" t="shared" si="35" ref="AT40:AT57">IF(Y40="","",Y40/AS40*100)</f>
      </c>
      <c r="AU40" s="28">
        <f aca="true" t="shared" si="36" ref="AU40:AU57">IF(AC40="","",((AC40+AD40)/AS40*100))</f>
      </c>
      <c r="AV40" s="28">
        <f aca="true" t="shared" si="37" ref="AV40:AV57">IF(AT40="","",SUM(AT40:AU40))</f>
      </c>
      <c r="AW40" s="24">
        <f aca="true" t="shared" si="38" ref="AW40:AW57">IF(AT40="","",Z40-AT40)</f>
      </c>
      <c r="AX40" s="24">
        <f aca="true" t="shared" si="39" ref="AX40:AX57">IF(AU40="","",(AE40+AF40)-AU40)</f>
      </c>
      <c r="AY40" s="24" t="str">
        <f aca="true" t="shared" si="40" ref="AY40:AY57">IF(AH40&gt;0,AI40-AV40,"New")</f>
        <v>New</v>
      </c>
      <c r="AZ40" s="156">
        <f aca="true" t="shared" si="41" ref="AZ40:AZ57">F40</f>
        <v>52272</v>
      </c>
      <c r="BA40" s="35">
        <f aca="true" t="shared" si="42" ref="BA40:BA57">IF($F40&gt;0,($F40/$AO40),IF($G40&gt;0,(((43560/($G40/12))*$H40)/$AO40),0))</f>
        <v>0.2376</v>
      </c>
      <c r="BB40" s="35">
        <f aca="true" t="shared" si="43" ref="BB40:BB57">Z40/(1/BA40)</f>
        <v>25.660800000000002</v>
      </c>
      <c r="BC40" s="36">
        <f aca="true" t="shared" si="44" ref="BC40:BC57">((AE40+AF40)/(1/BA40))</f>
        <v>40.84344</v>
      </c>
      <c r="BD40" s="36">
        <f aca="true" t="shared" si="45" ref="BD40:BD57">BB40+BC40</f>
        <v>66.50424000000001</v>
      </c>
      <c r="BE40" s="36" t="str">
        <f aca="true" t="shared" si="46" ref="BE40:BE57">IF(BD40=K40,"yes","no")</f>
        <v>yes</v>
      </c>
      <c r="BF40" s="37">
        <f aca="true" t="shared" si="47" ref="BF40:BF57">IF(AM40="","",IF($F40&gt;0,($F40/AM40),IF($G40&gt;0,((((43560/($G40/12))*$H40)/$AM40)),0)))</f>
        <v>0.2376</v>
      </c>
      <c r="BG40" s="37">
        <f aca="true" t="shared" si="48" ref="BG40:BG57">IF(Y40="","",Y40/(1/BF40))</f>
      </c>
      <c r="BH40" s="36">
        <f aca="true" t="shared" si="49" ref="BH40:BH57">((AC40+AD40)/(1/BF40))</f>
        <v>0</v>
      </c>
      <c r="BI40" s="38">
        <f aca="true" t="shared" si="50" ref="BI40:BI57">SUM(BG40:BH40)</f>
        <v>0</v>
      </c>
      <c r="BJ40" s="1" t="str">
        <f aca="true" t="shared" si="51" ref="BJ40:BJ57">IF(J40=BI40,"yes","no")</f>
        <v>yes</v>
      </c>
      <c r="BK40" s="37">
        <f aca="true" t="shared" si="52" ref="BK40:BL57">IF(BG40="","",IF(BG40=0,"",BB40-BG40))</f>
      </c>
      <c r="BL40" s="37">
        <f aca="true" t="shared" si="53" ref="BL40:BL57">IF(BH40="","",IF(BH40=0,"",BC40-BH40))</f>
      </c>
      <c r="BM40" s="7">
        <f aca="true" t="shared" si="54" ref="BM40:BM57">IF(BK40="","",BD40-BI40)</f>
      </c>
      <c r="BN40" s="7" t="e">
        <f aca="true" t="shared" si="55" ref="BN40:BN57">R40-BM40</f>
        <v>#VALUE!</v>
      </c>
    </row>
    <row r="41" spans="2:66" ht="15.75" customHeight="1">
      <c r="B41" s="4" t="s">
        <v>12</v>
      </c>
      <c r="C41" s="4" t="s">
        <v>97</v>
      </c>
      <c r="D41" s="159" t="s">
        <v>191</v>
      </c>
      <c r="E41" s="1" t="s">
        <v>89</v>
      </c>
      <c r="F41" s="79">
        <f t="shared" si="14"/>
        <v>52272</v>
      </c>
      <c r="G41" s="80">
        <f t="shared" si="15"/>
        <v>40</v>
      </c>
      <c r="H41" s="149">
        <f t="shared" si="16"/>
        <v>4</v>
      </c>
      <c r="I41" s="150">
        <f t="shared" si="17"/>
        <v>56.7864</v>
      </c>
      <c r="J41" s="83">
        <f t="shared" si="18"/>
        <v>57.879360000000005</v>
      </c>
      <c r="K41" s="84">
        <f t="shared" si="19"/>
        <v>57.879360000000005</v>
      </c>
      <c r="L41" s="151">
        <f t="shared" si="20"/>
        <v>25.660800000000002</v>
      </c>
      <c r="M41" s="152">
        <f t="shared" si="21"/>
        <v>25.660800000000002</v>
      </c>
      <c r="N41" s="188">
        <f t="shared" si="22"/>
        <v>0</v>
      </c>
      <c r="O41" s="153">
        <f t="shared" si="23"/>
        <v>32.218560000000004</v>
      </c>
      <c r="P41" s="154">
        <f t="shared" si="24"/>
        <v>32.218560000000004</v>
      </c>
      <c r="Q41" s="176">
        <f t="shared" si="25"/>
        <v>0</v>
      </c>
      <c r="R41" s="100">
        <f t="shared" si="26"/>
        <v>0</v>
      </c>
      <c r="S41" s="184">
        <f t="shared" si="27"/>
        <v>0</v>
      </c>
      <c r="U41" s="208" t="s">
        <v>97</v>
      </c>
      <c r="V41" s="4" t="s">
        <v>12</v>
      </c>
      <c r="X41" s="162">
        <v>113</v>
      </c>
      <c r="Y41" s="162">
        <v>108</v>
      </c>
      <c r="Z41" s="162">
        <v>108</v>
      </c>
      <c r="AA41" s="31">
        <v>126</v>
      </c>
      <c r="AB41" s="31"/>
      <c r="AC41" s="31">
        <v>135.6</v>
      </c>
      <c r="AD41" s="31"/>
      <c r="AE41" s="31">
        <v>135.6</v>
      </c>
      <c r="AF41" s="31"/>
      <c r="AG41" s="32">
        <f t="shared" si="28"/>
        <v>239</v>
      </c>
      <c r="AH41" s="32">
        <f t="shared" si="29"/>
        <v>243.6</v>
      </c>
      <c r="AI41" s="32">
        <f t="shared" si="30"/>
        <v>243.6</v>
      </c>
      <c r="AJ41" s="33"/>
      <c r="AK41" s="25">
        <v>220000</v>
      </c>
      <c r="AL41" s="33"/>
      <c r="AM41" s="25">
        <v>220000</v>
      </c>
      <c r="AN41" s="33"/>
      <c r="AO41" s="25">
        <v>220000</v>
      </c>
      <c r="AP41" s="67">
        <f t="shared" si="31"/>
        <v>220000</v>
      </c>
      <c r="AQ41" s="34">
        <f t="shared" si="32"/>
        <v>100</v>
      </c>
      <c r="AR41" s="67">
        <f t="shared" si="33"/>
        <v>220000</v>
      </c>
      <c r="AS41" s="34">
        <f t="shared" si="34"/>
        <v>100</v>
      </c>
      <c r="AT41" s="28">
        <f t="shared" si="35"/>
        <v>108</v>
      </c>
      <c r="AU41" s="28">
        <f t="shared" si="36"/>
        <v>135.6</v>
      </c>
      <c r="AV41" s="28">
        <f t="shared" si="37"/>
        <v>243.6</v>
      </c>
      <c r="AW41" s="24">
        <f t="shared" si="38"/>
        <v>0</v>
      </c>
      <c r="AX41" s="24">
        <f t="shared" si="39"/>
        <v>0</v>
      </c>
      <c r="AY41" s="24">
        <f t="shared" si="40"/>
        <v>0</v>
      </c>
      <c r="AZ41" s="156">
        <f t="shared" si="41"/>
        <v>52272</v>
      </c>
      <c r="BA41" s="35">
        <f t="shared" si="42"/>
        <v>0.2376</v>
      </c>
      <c r="BB41" s="35">
        <f t="shared" si="43"/>
        <v>25.660800000000002</v>
      </c>
      <c r="BC41" s="36">
        <f t="shared" si="44"/>
        <v>32.218560000000004</v>
      </c>
      <c r="BD41" s="36">
        <f t="shared" si="45"/>
        <v>57.879360000000005</v>
      </c>
      <c r="BE41" s="36" t="str">
        <f t="shared" si="46"/>
        <v>yes</v>
      </c>
      <c r="BF41" s="37">
        <f t="shared" si="47"/>
        <v>0.2376</v>
      </c>
      <c r="BG41" s="37">
        <f t="shared" si="48"/>
        <v>25.660800000000002</v>
      </c>
      <c r="BH41" s="36">
        <f t="shared" si="49"/>
        <v>32.218560000000004</v>
      </c>
      <c r="BI41" s="38">
        <f t="shared" si="50"/>
        <v>57.879360000000005</v>
      </c>
      <c r="BJ41" s="1" t="str">
        <f t="shared" si="51"/>
        <v>yes</v>
      </c>
      <c r="BK41" s="37">
        <f t="shared" si="52"/>
        <v>0</v>
      </c>
      <c r="BL41" s="37">
        <f t="shared" si="53"/>
        <v>0</v>
      </c>
      <c r="BM41" s="7">
        <f t="shared" si="54"/>
        <v>0</v>
      </c>
      <c r="BN41" s="7">
        <f t="shared" si="55"/>
        <v>0</v>
      </c>
    </row>
    <row r="42" spans="2:66" ht="15.75" customHeight="1">
      <c r="B42" s="4" t="s">
        <v>12</v>
      </c>
      <c r="C42" s="4" t="s">
        <v>97</v>
      </c>
      <c r="D42" s="159" t="s">
        <v>191</v>
      </c>
      <c r="E42" s="158" t="s">
        <v>87</v>
      </c>
      <c r="F42" s="79">
        <f t="shared" si="14"/>
        <v>52272</v>
      </c>
      <c r="G42" s="80">
        <f t="shared" si="15"/>
        <v>40</v>
      </c>
      <c r="H42" s="149">
        <f t="shared" si="16"/>
        <v>4</v>
      </c>
      <c r="I42" s="150">
        <f t="shared" si="17"/>
        <v>56.7864</v>
      </c>
      <c r="J42" s="83">
        <f t="shared" si="18"/>
        <v>52.41456000000001</v>
      </c>
      <c r="K42" s="84">
        <f t="shared" si="19"/>
        <v>52.41456000000001</v>
      </c>
      <c r="L42" s="151">
        <f t="shared" si="20"/>
        <v>20.196</v>
      </c>
      <c r="M42" s="152">
        <f t="shared" si="21"/>
        <v>20.196</v>
      </c>
      <c r="N42" s="188">
        <f t="shared" si="22"/>
        <v>0</v>
      </c>
      <c r="O42" s="153">
        <f t="shared" si="23"/>
        <v>32.218560000000004</v>
      </c>
      <c r="P42" s="154">
        <f t="shared" si="24"/>
        <v>32.218560000000004</v>
      </c>
      <c r="Q42" s="176">
        <f t="shared" si="25"/>
        <v>0</v>
      </c>
      <c r="R42" s="100">
        <f t="shared" si="26"/>
        <v>0</v>
      </c>
      <c r="S42" s="184">
        <f t="shared" si="27"/>
        <v>0</v>
      </c>
      <c r="U42" s="208" t="s">
        <v>97</v>
      </c>
      <c r="V42" s="4" t="s">
        <v>12</v>
      </c>
      <c r="X42" s="162">
        <v>113</v>
      </c>
      <c r="Y42" s="162">
        <v>85</v>
      </c>
      <c r="Z42" s="162">
        <v>85</v>
      </c>
      <c r="AA42" s="31">
        <v>126</v>
      </c>
      <c r="AB42" s="31"/>
      <c r="AC42" s="31">
        <v>135.6</v>
      </c>
      <c r="AD42" s="31"/>
      <c r="AE42" s="31">
        <v>135.6</v>
      </c>
      <c r="AF42" s="31"/>
      <c r="AG42" s="32">
        <f t="shared" si="28"/>
        <v>239</v>
      </c>
      <c r="AH42" s="32">
        <f t="shared" si="29"/>
        <v>220.6</v>
      </c>
      <c r="AI42" s="32">
        <f t="shared" si="30"/>
        <v>220.6</v>
      </c>
      <c r="AJ42" s="33"/>
      <c r="AK42" s="25">
        <v>220000</v>
      </c>
      <c r="AL42" s="33"/>
      <c r="AM42" s="25">
        <v>220000</v>
      </c>
      <c r="AN42" s="33"/>
      <c r="AO42" s="25">
        <v>220000</v>
      </c>
      <c r="AP42" s="67">
        <f t="shared" si="31"/>
        <v>220000</v>
      </c>
      <c r="AQ42" s="34">
        <f t="shared" si="32"/>
        <v>100</v>
      </c>
      <c r="AR42" s="67">
        <f t="shared" si="33"/>
        <v>220000</v>
      </c>
      <c r="AS42" s="34">
        <f t="shared" si="34"/>
        <v>100</v>
      </c>
      <c r="AT42" s="28">
        <f t="shared" si="35"/>
        <v>85</v>
      </c>
      <c r="AU42" s="28">
        <f t="shared" si="36"/>
        <v>135.6</v>
      </c>
      <c r="AV42" s="28">
        <f t="shared" si="37"/>
        <v>220.6</v>
      </c>
      <c r="AW42" s="24">
        <f t="shared" si="38"/>
        <v>0</v>
      </c>
      <c r="AX42" s="24">
        <f t="shared" si="39"/>
        <v>0</v>
      </c>
      <c r="AY42" s="24">
        <f t="shared" si="40"/>
        <v>0</v>
      </c>
      <c r="AZ42" s="156">
        <f t="shared" si="41"/>
        <v>52272</v>
      </c>
      <c r="BA42" s="35">
        <f t="shared" si="42"/>
        <v>0.2376</v>
      </c>
      <c r="BB42" s="35">
        <f t="shared" si="43"/>
        <v>20.196</v>
      </c>
      <c r="BC42" s="36">
        <f t="shared" si="44"/>
        <v>32.218560000000004</v>
      </c>
      <c r="BD42" s="36">
        <f t="shared" si="45"/>
        <v>52.41456000000001</v>
      </c>
      <c r="BE42" s="36" t="str">
        <f t="shared" si="46"/>
        <v>yes</v>
      </c>
      <c r="BF42" s="37">
        <f t="shared" si="47"/>
        <v>0.2376</v>
      </c>
      <c r="BG42" s="37">
        <f t="shared" si="48"/>
        <v>20.196</v>
      </c>
      <c r="BH42" s="36">
        <f t="shared" si="49"/>
        <v>32.218560000000004</v>
      </c>
      <c r="BI42" s="38">
        <f t="shared" si="50"/>
        <v>52.41456000000001</v>
      </c>
      <c r="BJ42" s="1" t="str">
        <f t="shared" si="51"/>
        <v>yes</v>
      </c>
      <c r="BK42" s="37">
        <f t="shared" si="52"/>
        <v>0</v>
      </c>
      <c r="BL42" s="37">
        <f t="shared" si="53"/>
        <v>0</v>
      </c>
      <c r="BM42" s="7">
        <f t="shared" si="54"/>
        <v>0</v>
      </c>
      <c r="BN42" s="7">
        <f t="shared" si="55"/>
        <v>0</v>
      </c>
    </row>
    <row r="43" spans="2:66" ht="15.75" customHeight="1">
      <c r="B43" s="4" t="s">
        <v>12</v>
      </c>
      <c r="C43" s="4" t="s">
        <v>97</v>
      </c>
      <c r="D43" s="159" t="s">
        <v>191</v>
      </c>
      <c r="E43" s="158" t="s">
        <v>10</v>
      </c>
      <c r="F43" s="79">
        <f t="shared" si="14"/>
        <v>52272</v>
      </c>
      <c r="G43" s="80">
        <f t="shared" si="15"/>
        <v>40</v>
      </c>
      <c r="H43" s="149">
        <f t="shared" si="16"/>
        <v>4</v>
      </c>
      <c r="I43" s="150">
        <f t="shared" si="17"/>
        <v>56.7864</v>
      </c>
      <c r="J43" s="83">
        <f t="shared" si="18"/>
        <v>57.879360000000005</v>
      </c>
      <c r="K43" s="84">
        <f t="shared" si="19"/>
        <v>57.879360000000005</v>
      </c>
      <c r="L43" s="151">
        <f t="shared" si="20"/>
        <v>25.660800000000002</v>
      </c>
      <c r="M43" s="152">
        <f t="shared" si="21"/>
        <v>25.660800000000002</v>
      </c>
      <c r="N43" s="188">
        <f t="shared" si="22"/>
        <v>0</v>
      </c>
      <c r="O43" s="153">
        <f t="shared" si="23"/>
        <v>32.218560000000004</v>
      </c>
      <c r="P43" s="154">
        <f t="shared" si="24"/>
        <v>32.218560000000004</v>
      </c>
      <c r="Q43" s="176">
        <f t="shared" si="25"/>
        <v>0</v>
      </c>
      <c r="R43" s="100">
        <f t="shared" si="26"/>
        <v>0</v>
      </c>
      <c r="S43" s="184">
        <f t="shared" si="27"/>
        <v>0</v>
      </c>
      <c r="U43" s="208" t="s">
        <v>97</v>
      </c>
      <c r="V43" s="4" t="s">
        <v>12</v>
      </c>
      <c r="X43" s="162">
        <v>113</v>
      </c>
      <c r="Y43" s="162">
        <v>108</v>
      </c>
      <c r="Z43" s="162">
        <v>108</v>
      </c>
      <c r="AA43" s="31">
        <v>126</v>
      </c>
      <c r="AB43" s="31"/>
      <c r="AC43" s="31">
        <v>135.6</v>
      </c>
      <c r="AD43" s="31"/>
      <c r="AE43" s="31">
        <v>135.6</v>
      </c>
      <c r="AF43" s="31"/>
      <c r="AG43" s="32">
        <f t="shared" si="28"/>
        <v>239</v>
      </c>
      <c r="AH43" s="32">
        <f t="shared" si="29"/>
        <v>243.6</v>
      </c>
      <c r="AI43" s="32">
        <f t="shared" si="30"/>
        <v>243.6</v>
      </c>
      <c r="AJ43" s="33"/>
      <c r="AK43" s="33">
        <v>220000</v>
      </c>
      <c r="AL43" s="33"/>
      <c r="AM43" s="33">
        <v>220000</v>
      </c>
      <c r="AN43" s="33"/>
      <c r="AO43" s="33">
        <v>220000</v>
      </c>
      <c r="AP43" s="67">
        <f t="shared" si="31"/>
        <v>220000</v>
      </c>
      <c r="AQ43" s="34">
        <f t="shared" si="32"/>
        <v>100</v>
      </c>
      <c r="AR43" s="67">
        <f t="shared" si="33"/>
        <v>220000</v>
      </c>
      <c r="AS43" s="34">
        <f t="shared" si="34"/>
        <v>100</v>
      </c>
      <c r="AT43" s="28">
        <f t="shared" si="35"/>
        <v>108</v>
      </c>
      <c r="AU43" s="28">
        <f t="shared" si="36"/>
        <v>135.6</v>
      </c>
      <c r="AV43" s="28">
        <f t="shared" si="37"/>
        <v>243.6</v>
      </c>
      <c r="AW43" s="24">
        <f t="shared" si="38"/>
        <v>0</v>
      </c>
      <c r="AX43" s="24">
        <f t="shared" si="39"/>
        <v>0</v>
      </c>
      <c r="AY43" s="24">
        <f t="shared" si="40"/>
        <v>0</v>
      </c>
      <c r="AZ43" s="156">
        <f t="shared" si="41"/>
        <v>52272</v>
      </c>
      <c r="BA43" s="35">
        <f t="shared" si="42"/>
        <v>0.2376</v>
      </c>
      <c r="BB43" s="35">
        <f t="shared" si="43"/>
        <v>25.660800000000002</v>
      </c>
      <c r="BC43" s="36">
        <f t="shared" si="44"/>
        <v>32.218560000000004</v>
      </c>
      <c r="BD43" s="36">
        <f t="shared" si="45"/>
        <v>57.879360000000005</v>
      </c>
      <c r="BE43" s="36" t="str">
        <f t="shared" si="46"/>
        <v>yes</v>
      </c>
      <c r="BF43" s="37">
        <f t="shared" si="47"/>
        <v>0.2376</v>
      </c>
      <c r="BG43" s="37">
        <f t="shared" si="48"/>
        <v>25.660800000000002</v>
      </c>
      <c r="BH43" s="36">
        <f t="shared" si="49"/>
        <v>32.218560000000004</v>
      </c>
      <c r="BI43" s="38">
        <f t="shared" si="50"/>
        <v>57.879360000000005</v>
      </c>
      <c r="BJ43" s="1" t="str">
        <f t="shared" si="51"/>
        <v>yes</v>
      </c>
      <c r="BK43" s="37">
        <f t="shared" si="52"/>
        <v>0</v>
      </c>
      <c r="BL43" s="37">
        <f t="shared" si="53"/>
        <v>0</v>
      </c>
      <c r="BM43" s="7">
        <f t="shared" si="54"/>
        <v>0</v>
      </c>
      <c r="BN43" s="7">
        <f t="shared" si="55"/>
        <v>0</v>
      </c>
    </row>
    <row r="44" spans="2:66" ht="18" customHeight="1">
      <c r="B44" s="4" t="s">
        <v>12</v>
      </c>
      <c r="C44" s="4" t="s">
        <v>140</v>
      </c>
      <c r="D44" s="157" t="s">
        <v>74</v>
      </c>
      <c r="E44" s="158" t="s">
        <v>138</v>
      </c>
      <c r="F44" s="79">
        <f t="shared" si="14"/>
        <v>52272</v>
      </c>
      <c r="G44" s="80">
        <f t="shared" si="15"/>
        <v>40</v>
      </c>
      <c r="H44" s="149">
        <f t="shared" si="16"/>
        <v>4</v>
      </c>
      <c r="I44" s="150">
        <f t="shared" si="17"/>
        <v>58.36282434782609</v>
      </c>
      <c r="J44" s="83">
        <f t="shared" si="18"/>
        <v>61.77186782608696</v>
      </c>
      <c r="K44" s="84">
        <f t="shared" si="19"/>
        <v>62.22640695652174</v>
      </c>
      <c r="L44" s="151">
        <f t="shared" si="20"/>
        <v>29.545043478260872</v>
      </c>
      <c r="M44" s="152">
        <f t="shared" si="21"/>
        <v>29.999582608695654</v>
      </c>
      <c r="N44" s="188">
        <f t="shared" si="22"/>
        <v>0.01538461538461533</v>
      </c>
      <c r="O44" s="153">
        <f t="shared" si="23"/>
        <v>32.22682434782609</v>
      </c>
      <c r="P44" s="154">
        <f t="shared" si="24"/>
        <v>32.22682434782609</v>
      </c>
      <c r="Q44" s="176">
        <f t="shared" si="25"/>
        <v>0</v>
      </c>
      <c r="R44" s="100">
        <f t="shared" si="26"/>
        <v>0.45453913043478167</v>
      </c>
      <c r="S44" s="184">
        <f t="shared" si="27"/>
        <v>0.007358351729212641</v>
      </c>
      <c r="U44" s="208" t="s">
        <v>140</v>
      </c>
      <c r="V44" s="4" t="s">
        <v>12</v>
      </c>
      <c r="X44" s="155">
        <v>125</v>
      </c>
      <c r="Y44" s="155">
        <v>130</v>
      </c>
      <c r="Z44" s="155">
        <v>132</v>
      </c>
      <c r="AA44" s="155">
        <v>131.8</v>
      </c>
      <c r="AB44" s="155"/>
      <c r="AC44" s="155">
        <v>141.8</v>
      </c>
      <c r="AD44" s="155"/>
      <c r="AE44" s="155">
        <v>141.8</v>
      </c>
      <c r="AF44" s="155"/>
      <c r="AG44" s="32">
        <f t="shared" si="28"/>
        <v>256.8</v>
      </c>
      <c r="AH44" s="32">
        <f t="shared" si="29"/>
        <v>271.8</v>
      </c>
      <c r="AI44" s="32">
        <f t="shared" si="30"/>
        <v>273.8</v>
      </c>
      <c r="AJ44" s="33"/>
      <c r="AK44" s="33">
        <v>230000</v>
      </c>
      <c r="AL44" s="33"/>
      <c r="AM44" s="33">
        <v>230000</v>
      </c>
      <c r="AN44" s="33"/>
      <c r="AO44" s="33">
        <v>230000</v>
      </c>
      <c r="AP44" s="67">
        <f t="shared" si="31"/>
        <v>230000</v>
      </c>
      <c r="AQ44" s="34">
        <f t="shared" si="32"/>
        <v>100</v>
      </c>
      <c r="AR44" s="67">
        <f t="shared" si="33"/>
        <v>230000</v>
      </c>
      <c r="AS44" s="34">
        <f t="shared" si="34"/>
        <v>100</v>
      </c>
      <c r="AT44" s="28">
        <f t="shared" si="35"/>
        <v>130</v>
      </c>
      <c r="AU44" s="28">
        <f t="shared" si="36"/>
        <v>141.8</v>
      </c>
      <c r="AV44" s="28">
        <f t="shared" si="37"/>
        <v>271.8</v>
      </c>
      <c r="AW44" s="24">
        <f t="shared" si="38"/>
        <v>2</v>
      </c>
      <c r="AX44" s="24">
        <f t="shared" si="39"/>
        <v>0</v>
      </c>
      <c r="AY44" s="24">
        <f t="shared" si="40"/>
        <v>2</v>
      </c>
      <c r="AZ44" s="156">
        <f t="shared" si="41"/>
        <v>52272</v>
      </c>
      <c r="BA44" s="35">
        <f t="shared" si="42"/>
        <v>0.2272695652173913</v>
      </c>
      <c r="BB44" s="35">
        <f t="shared" si="43"/>
        <v>29.999582608695654</v>
      </c>
      <c r="BC44" s="36">
        <f t="shared" si="44"/>
        <v>32.22682434782609</v>
      </c>
      <c r="BD44" s="36">
        <f t="shared" si="45"/>
        <v>62.22640695652174</v>
      </c>
      <c r="BE44" s="36" t="str">
        <f t="shared" si="46"/>
        <v>yes</v>
      </c>
      <c r="BF44" s="37">
        <f t="shared" si="47"/>
        <v>0.2272695652173913</v>
      </c>
      <c r="BG44" s="37">
        <f t="shared" si="48"/>
        <v>29.545043478260872</v>
      </c>
      <c r="BH44" s="36">
        <f t="shared" si="49"/>
        <v>32.22682434782609</v>
      </c>
      <c r="BI44" s="38">
        <f t="shared" si="50"/>
        <v>61.77186782608696</v>
      </c>
      <c r="BJ44" s="1" t="str">
        <f t="shared" si="51"/>
        <v>yes</v>
      </c>
      <c r="BK44" s="37">
        <f t="shared" si="52"/>
        <v>0.45453913043478167</v>
      </c>
      <c r="BL44" s="37">
        <f t="shared" si="52"/>
        <v>0</v>
      </c>
      <c r="BM44" s="7">
        <f t="shared" si="54"/>
        <v>0.45453913043478167</v>
      </c>
      <c r="BN44" s="7">
        <f t="shared" si="55"/>
        <v>0</v>
      </c>
    </row>
    <row r="45" spans="2:66" ht="15.75" customHeight="1">
      <c r="B45" s="4" t="s">
        <v>12</v>
      </c>
      <c r="C45" s="4" t="s">
        <v>97</v>
      </c>
      <c r="D45" s="157" t="s">
        <v>80</v>
      </c>
      <c r="E45" s="158" t="s">
        <v>23</v>
      </c>
      <c r="F45" s="79">
        <f t="shared" si="14"/>
        <v>52272</v>
      </c>
      <c r="G45" s="80">
        <f t="shared" si="15"/>
        <v>40</v>
      </c>
      <c r="H45" s="149">
        <f t="shared" si="16"/>
        <v>4</v>
      </c>
      <c r="I45" s="150">
        <f t="shared" si="17"/>
        <v>58.59009391304348</v>
      </c>
      <c r="J45" s="83">
        <f t="shared" si="18"/>
        <v>62.90821565217392</v>
      </c>
      <c r="K45" s="84">
        <f t="shared" si="19"/>
        <v>63.817293913043486</v>
      </c>
      <c r="L45" s="151">
        <f t="shared" si="20"/>
        <v>30.68139130434783</v>
      </c>
      <c r="M45" s="152">
        <f t="shared" si="21"/>
        <v>31.590469565217393</v>
      </c>
      <c r="N45" s="188">
        <f t="shared" si="22"/>
        <v>0.029629629629629672</v>
      </c>
      <c r="O45" s="153">
        <f t="shared" si="23"/>
        <v>32.22682434782609</v>
      </c>
      <c r="P45" s="154">
        <f t="shared" si="24"/>
        <v>32.22682434782609</v>
      </c>
      <c r="Q45" s="176">
        <f t="shared" si="25"/>
        <v>0</v>
      </c>
      <c r="R45" s="100">
        <f t="shared" si="26"/>
        <v>0.9090782608695633</v>
      </c>
      <c r="S45" s="184">
        <f t="shared" si="27"/>
        <v>0.01445086705202309</v>
      </c>
      <c r="U45" s="208" t="s">
        <v>97</v>
      </c>
      <c r="V45" s="4" t="s">
        <v>12</v>
      </c>
      <c r="X45" s="155">
        <v>126</v>
      </c>
      <c r="Y45" s="155">
        <v>135</v>
      </c>
      <c r="Z45" s="155">
        <v>139</v>
      </c>
      <c r="AA45" s="155">
        <v>131.8</v>
      </c>
      <c r="AB45" s="155"/>
      <c r="AC45" s="155">
        <v>141.8</v>
      </c>
      <c r="AD45" s="155"/>
      <c r="AE45" s="155">
        <v>141.8</v>
      </c>
      <c r="AF45" s="155"/>
      <c r="AG45" s="32">
        <f t="shared" si="28"/>
        <v>257.8</v>
      </c>
      <c r="AH45" s="32">
        <f t="shared" si="29"/>
        <v>276.8</v>
      </c>
      <c r="AI45" s="32">
        <f t="shared" si="30"/>
        <v>280.8</v>
      </c>
      <c r="AJ45" s="33"/>
      <c r="AK45" s="33">
        <v>230000</v>
      </c>
      <c r="AL45" s="33"/>
      <c r="AM45" s="33">
        <v>230000</v>
      </c>
      <c r="AN45" s="33"/>
      <c r="AO45" s="33">
        <v>230000</v>
      </c>
      <c r="AP45" s="67">
        <f t="shared" si="31"/>
        <v>230000</v>
      </c>
      <c r="AQ45" s="34">
        <f t="shared" si="32"/>
        <v>100</v>
      </c>
      <c r="AR45" s="67">
        <f t="shared" si="33"/>
        <v>230000</v>
      </c>
      <c r="AS45" s="34">
        <f t="shared" si="34"/>
        <v>100</v>
      </c>
      <c r="AT45" s="28">
        <f t="shared" si="35"/>
        <v>135</v>
      </c>
      <c r="AU45" s="28">
        <f t="shared" si="36"/>
        <v>141.8</v>
      </c>
      <c r="AV45" s="28">
        <f t="shared" si="37"/>
        <v>276.8</v>
      </c>
      <c r="AW45" s="24">
        <f t="shared" si="38"/>
        <v>4</v>
      </c>
      <c r="AX45" s="24">
        <f t="shared" si="39"/>
        <v>0</v>
      </c>
      <c r="AY45" s="24">
        <f t="shared" si="40"/>
        <v>4</v>
      </c>
      <c r="AZ45" s="156">
        <f t="shared" si="41"/>
        <v>52272</v>
      </c>
      <c r="BA45" s="35">
        <f t="shared" si="42"/>
        <v>0.2272695652173913</v>
      </c>
      <c r="BB45" s="35">
        <f t="shared" si="43"/>
        <v>31.590469565217393</v>
      </c>
      <c r="BC45" s="36">
        <f t="shared" si="44"/>
        <v>32.22682434782609</v>
      </c>
      <c r="BD45" s="36">
        <f t="shared" si="45"/>
        <v>63.817293913043486</v>
      </c>
      <c r="BE45" s="36" t="str">
        <f t="shared" si="46"/>
        <v>yes</v>
      </c>
      <c r="BF45" s="37">
        <f t="shared" si="47"/>
        <v>0.2272695652173913</v>
      </c>
      <c r="BG45" s="37">
        <f t="shared" si="48"/>
        <v>30.68139130434783</v>
      </c>
      <c r="BH45" s="36">
        <f t="shared" si="49"/>
        <v>32.22682434782609</v>
      </c>
      <c r="BI45" s="38">
        <f t="shared" si="50"/>
        <v>62.90821565217392</v>
      </c>
      <c r="BJ45" s="1" t="str">
        <f t="shared" si="51"/>
        <v>yes</v>
      </c>
      <c r="BK45" s="37">
        <f t="shared" si="52"/>
        <v>0.9090782608695633</v>
      </c>
      <c r="BL45" s="37">
        <f t="shared" si="53"/>
        <v>0</v>
      </c>
      <c r="BM45" s="7">
        <f t="shared" si="54"/>
        <v>0.9090782608695633</v>
      </c>
      <c r="BN45" s="7">
        <f t="shared" si="55"/>
        <v>0</v>
      </c>
    </row>
    <row r="46" spans="2:66" ht="15.75" customHeight="1">
      <c r="B46" s="4" t="s">
        <v>12</v>
      </c>
      <c r="C46" s="4" t="s">
        <v>97</v>
      </c>
      <c r="D46" s="157" t="s">
        <v>190</v>
      </c>
      <c r="E46" s="158" t="s">
        <v>234</v>
      </c>
      <c r="F46" s="79">
        <f t="shared" si="14"/>
        <v>52272</v>
      </c>
      <c r="G46" s="80">
        <f t="shared" si="15"/>
        <v>40</v>
      </c>
      <c r="H46" s="149">
        <f t="shared" si="16"/>
        <v>4</v>
      </c>
      <c r="I46" s="150">
        <f t="shared" si="17"/>
        <v>58.617820800000004</v>
      </c>
      <c r="J46" s="83">
        <f t="shared" si="18"/>
        <v>61.48232639999999</v>
      </c>
      <c r="K46" s="84">
        <f t="shared" si="19"/>
        <v>61.2732384</v>
      </c>
      <c r="L46" s="151">
        <f t="shared" si="20"/>
        <v>29.261865599999997</v>
      </c>
      <c r="M46" s="152">
        <f t="shared" si="21"/>
        <v>29.052777599999995</v>
      </c>
      <c r="N46" s="188">
        <f t="shared" si="22"/>
        <v>-0.00714540907466954</v>
      </c>
      <c r="O46" s="153">
        <f t="shared" si="23"/>
        <v>32.2204608</v>
      </c>
      <c r="P46" s="154">
        <f t="shared" si="24"/>
        <v>32.2204608</v>
      </c>
      <c r="Q46" s="176">
        <f t="shared" si="25"/>
        <v>0</v>
      </c>
      <c r="R46" s="100">
        <f t="shared" si="26"/>
        <v>-0.20908799999999417</v>
      </c>
      <c r="S46" s="184">
        <f t="shared" si="27"/>
        <v>-0.003400782179901283</v>
      </c>
      <c r="U46" s="208" t="s">
        <v>97</v>
      </c>
      <c r="V46" s="4" t="s">
        <v>12</v>
      </c>
      <c r="X46" s="155">
        <v>137.15</v>
      </c>
      <c r="Y46" s="155">
        <v>139.95</v>
      </c>
      <c r="Z46" s="155">
        <v>138.95</v>
      </c>
      <c r="AA46" s="155">
        <v>143.2</v>
      </c>
      <c r="AB46" s="155"/>
      <c r="AC46" s="155">
        <v>154.1</v>
      </c>
      <c r="AD46" s="155"/>
      <c r="AE46" s="155">
        <v>154.1</v>
      </c>
      <c r="AF46" s="155"/>
      <c r="AG46" s="32">
        <f t="shared" si="28"/>
        <v>280.35</v>
      </c>
      <c r="AH46" s="32">
        <f t="shared" si="29"/>
        <v>294.04999999999995</v>
      </c>
      <c r="AI46" s="32">
        <f t="shared" si="30"/>
        <v>293.04999999999995</v>
      </c>
      <c r="AJ46" s="33"/>
      <c r="AK46" s="33">
        <v>250000</v>
      </c>
      <c r="AL46" s="33"/>
      <c r="AM46" s="33">
        <v>250000</v>
      </c>
      <c r="AN46" s="33"/>
      <c r="AO46" s="33">
        <v>250000</v>
      </c>
      <c r="AP46" s="67">
        <f t="shared" si="31"/>
        <v>250000</v>
      </c>
      <c r="AQ46" s="34">
        <f t="shared" si="32"/>
        <v>100</v>
      </c>
      <c r="AR46" s="67">
        <f t="shared" si="33"/>
        <v>250000</v>
      </c>
      <c r="AS46" s="34">
        <f t="shared" si="34"/>
        <v>100</v>
      </c>
      <c r="AT46" s="28">
        <f t="shared" si="35"/>
        <v>139.95</v>
      </c>
      <c r="AU46" s="28">
        <f t="shared" si="36"/>
        <v>154.1</v>
      </c>
      <c r="AV46" s="28">
        <f t="shared" si="37"/>
        <v>294.04999999999995</v>
      </c>
      <c r="AW46" s="24">
        <f t="shared" si="38"/>
        <v>-1</v>
      </c>
      <c r="AX46" s="24">
        <f t="shared" si="39"/>
        <v>0</v>
      </c>
      <c r="AY46" s="24">
        <f t="shared" si="40"/>
        <v>-1</v>
      </c>
      <c r="AZ46" s="156">
        <f t="shared" si="41"/>
        <v>52272</v>
      </c>
      <c r="BA46" s="35">
        <f t="shared" si="42"/>
        <v>0.209088</v>
      </c>
      <c r="BB46" s="35">
        <f t="shared" si="43"/>
        <v>29.052777599999995</v>
      </c>
      <c r="BC46" s="36">
        <f t="shared" si="44"/>
        <v>32.2204608</v>
      </c>
      <c r="BD46" s="36">
        <f t="shared" si="45"/>
        <v>61.2732384</v>
      </c>
      <c r="BE46" s="36" t="str">
        <f t="shared" si="46"/>
        <v>yes</v>
      </c>
      <c r="BF46" s="37">
        <f t="shared" si="47"/>
        <v>0.209088</v>
      </c>
      <c r="BG46" s="37">
        <f t="shared" si="48"/>
        <v>29.261865599999997</v>
      </c>
      <c r="BH46" s="36">
        <f t="shared" si="49"/>
        <v>32.2204608</v>
      </c>
      <c r="BI46" s="38">
        <f t="shared" si="50"/>
        <v>61.48232639999999</v>
      </c>
      <c r="BJ46" s="1" t="str">
        <f t="shared" si="51"/>
        <v>yes</v>
      </c>
      <c r="BK46" s="37">
        <f t="shared" si="52"/>
        <v>-0.20908800000000127</v>
      </c>
      <c r="BL46" s="37">
        <f t="shared" si="53"/>
        <v>0</v>
      </c>
      <c r="BM46" s="7">
        <f t="shared" si="54"/>
        <v>-0.20908799999999417</v>
      </c>
      <c r="BN46" s="7">
        <f t="shared" si="55"/>
        <v>0</v>
      </c>
    </row>
    <row r="47" spans="2:66" ht="15.75" customHeight="1">
      <c r="B47" s="4" t="s">
        <v>12</v>
      </c>
      <c r="C47" s="29" t="s">
        <v>97</v>
      </c>
      <c r="D47" s="164" t="s">
        <v>190</v>
      </c>
      <c r="E47" s="192" t="s">
        <v>14</v>
      </c>
      <c r="F47" s="79">
        <f t="shared" si="14"/>
        <v>52272</v>
      </c>
      <c r="G47" s="80">
        <f t="shared" si="15"/>
        <v>40</v>
      </c>
      <c r="H47" s="149">
        <f t="shared" si="16"/>
        <v>4</v>
      </c>
      <c r="I47" s="150">
        <f t="shared" si="17"/>
        <v>58.617820800000004</v>
      </c>
      <c r="J47" s="83">
        <f t="shared" si="18"/>
        <v>63.364118399999995</v>
      </c>
      <c r="K47" s="84">
        <f t="shared" si="19"/>
        <v>61.2732384</v>
      </c>
      <c r="L47" s="151">
        <f t="shared" si="20"/>
        <v>31.143657599999994</v>
      </c>
      <c r="M47" s="152">
        <f t="shared" si="21"/>
        <v>29.052777599999995</v>
      </c>
      <c r="N47" s="188">
        <f t="shared" si="22"/>
        <v>-0.06713662302786172</v>
      </c>
      <c r="O47" s="153">
        <f t="shared" si="23"/>
        <v>32.2204608</v>
      </c>
      <c r="P47" s="154">
        <f t="shared" si="24"/>
        <v>32.2204608</v>
      </c>
      <c r="Q47" s="176">
        <f t="shared" si="25"/>
        <v>0</v>
      </c>
      <c r="R47" s="100">
        <f t="shared" si="26"/>
        <v>-2.0908799999999985</v>
      </c>
      <c r="S47" s="184">
        <f t="shared" si="27"/>
        <v>-0.032997855139415916</v>
      </c>
      <c r="U47" s="207" t="s">
        <v>97</v>
      </c>
      <c r="V47" s="4" t="s">
        <v>12</v>
      </c>
      <c r="X47" s="39">
        <v>137.15</v>
      </c>
      <c r="Y47" s="39">
        <v>148.95</v>
      </c>
      <c r="Z47" s="155">
        <v>138.95</v>
      </c>
      <c r="AA47" s="161">
        <v>143.2</v>
      </c>
      <c r="AB47" s="39"/>
      <c r="AC47" s="155">
        <v>154.1</v>
      </c>
      <c r="AD47" s="39"/>
      <c r="AE47" s="155">
        <v>154.1</v>
      </c>
      <c r="AF47" s="39"/>
      <c r="AG47" s="32">
        <f t="shared" si="28"/>
        <v>280.35</v>
      </c>
      <c r="AH47" s="32">
        <f t="shared" si="29"/>
        <v>303.04999999999995</v>
      </c>
      <c r="AI47" s="32">
        <f t="shared" si="30"/>
        <v>293.04999999999995</v>
      </c>
      <c r="AJ47" s="33"/>
      <c r="AK47" s="33">
        <v>250000</v>
      </c>
      <c r="AL47" s="33"/>
      <c r="AM47" s="33">
        <v>250000</v>
      </c>
      <c r="AN47" s="33"/>
      <c r="AO47" s="33">
        <v>250000</v>
      </c>
      <c r="AP47" s="67">
        <f t="shared" si="31"/>
        <v>250000</v>
      </c>
      <c r="AQ47" s="34">
        <f t="shared" si="32"/>
        <v>100</v>
      </c>
      <c r="AR47" s="67">
        <f t="shared" si="33"/>
        <v>250000</v>
      </c>
      <c r="AS47" s="34">
        <f t="shared" si="34"/>
        <v>100</v>
      </c>
      <c r="AT47" s="28">
        <f t="shared" si="35"/>
        <v>148.95</v>
      </c>
      <c r="AU47" s="28">
        <f t="shared" si="36"/>
        <v>154.1</v>
      </c>
      <c r="AV47" s="28">
        <f t="shared" si="37"/>
        <v>303.04999999999995</v>
      </c>
      <c r="AW47" s="24">
        <f t="shared" si="38"/>
        <v>-10</v>
      </c>
      <c r="AX47" s="24">
        <f t="shared" si="39"/>
        <v>0</v>
      </c>
      <c r="AY47" s="24">
        <f t="shared" si="40"/>
        <v>-10</v>
      </c>
      <c r="AZ47" s="156">
        <f t="shared" si="41"/>
        <v>52272</v>
      </c>
      <c r="BA47" s="35">
        <f t="shared" si="42"/>
        <v>0.209088</v>
      </c>
      <c r="BB47" s="35">
        <f t="shared" si="43"/>
        <v>29.052777599999995</v>
      </c>
      <c r="BC47" s="36">
        <f t="shared" si="44"/>
        <v>32.2204608</v>
      </c>
      <c r="BD47" s="36">
        <f t="shared" si="45"/>
        <v>61.2732384</v>
      </c>
      <c r="BE47" s="36" t="str">
        <f t="shared" si="46"/>
        <v>yes</v>
      </c>
      <c r="BF47" s="37">
        <f t="shared" si="47"/>
        <v>0.209088</v>
      </c>
      <c r="BG47" s="37">
        <f t="shared" si="48"/>
        <v>31.143657599999994</v>
      </c>
      <c r="BH47" s="36">
        <f t="shared" si="49"/>
        <v>32.2204608</v>
      </c>
      <c r="BI47" s="38">
        <f t="shared" si="50"/>
        <v>63.364118399999995</v>
      </c>
      <c r="BJ47" s="1" t="str">
        <f t="shared" si="51"/>
        <v>yes</v>
      </c>
      <c r="BK47" s="37">
        <f t="shared" si="52"/>
        <v>-2.0908799999999985</v>
      </c>
      <c r="BL47" s="37">
        <f t="shared" si="53"/>
        <v>0</v>
      </c>
      <c r="BM47" s="7">
        <f t="shared" si="54"/>
        <v>-2.0908799999999985</v>
      </c>
      <c r="BN47" s="7">
        <f t="shared" si="55"/>
        <v>0</v>
      </c>
    </row>
    <row r="48" spans="2:66" ht="15.75" customHeight="1">
      <c r="B48" s="4" t="s">
        <v>12</v>
      </c>
      <c r="C48" s="29" t="s">
        <v>97</v>
      </c>
      <c r="D48" s="157" t="s">
        <v>157</v>
      </c>
      <c r="E48" s="158" t="s">
        <v>178</v>
      </c>
      <c r="F48" s="79">
        <f t="shared" si="14"/>
        <v>52272</v>
      </c>
      <c r="G48" s="80">
        <f t="shared" si="15"/>
        <v>40</v>
      </c>
      <c r="H48" s="149">
        <f t="shared" si="16"/>
        <v>4</v>
      </c>
      <c r="I48" s="150">
        <f t="shared" si="17"/>
        <v>66.38543999999999</v>
      </c>
      <c r="J48" s="83">
        <f t="shared" si="18"/>
        <v>63.34416</v>
      </c>
      <c r="K48" s="84">
        <f t="shared" si="19"/>
        <v>64.53216</v>
      </c>
      <c r="L48" s="151">
        <f t="shared" si="20"/>
        <v>31.125600000000002</v>
      </c>
      <c r="M48" s="152">
        <f t="shared" si="21"/>
        <v>32.3136</v>
      </c>
      <c r="N48" s="188">
        <f t="shared" si="22"/>
        <v>0.03816793893129766</v>
      </c>
      <c r="O48" s="153">
        <f t="shared" si="23"/>
        <v>32.218560000000004</v>
      </c>
      <c r="P48" s="154">
        <f t="shared" si="24"/>
        <v>32.218560000000004</v>
      </c>
      <c r="Q48" s="176">
        <f t="shared" si="25"/>
        <v>0</v>
      </c>
      <c r="R48" s="100">
        <f t="shared" si="26"/>
        <v>1.1880000000000024</v>
      </c>
      <c r="S48" s="184">
        <f t="shared" si="27"/>
        <v>0.01875468867216808</v>
      </c>
      <c r="U48" s="207" t="s">
        <v>97</v>
      </c>
      <c r="V48" s="4" t="s">
        <v>12</v>
      </c>
      <c r="X48" s="161">
        <v>128</v>
      </c>
      <c r="Y48" s="161">
        <v>131</v>
      </c>
      <c r="Z48" s="161">
        <v>136</v>
      </c>
      <c r="AA48" s="161">
        <v>126</v>
      </c>
      <c r="AB48" s="161"/>
      <c r="AC48" s="161">
        <v>135.6</v>
      </c>
      <c r="AD48" s="161"/>
      <c r="AE48" s="161">
        <v>135.6</v>
      </c>
      <c r="AF48" s="161"/>
      <c r="AG48" s="32">
        <f t="shared" si="28"/>
        <v>254</v>
      </c>
      <c r="AH48" s="32">
        <f t="shared" si="29"/>
        <v>266.6</v>
      </c>
      <c r="AI48" s="32">
        <f t="shared" si="30"/>
        <v>271.6</v>
      </c>
      <c r="AJ48" s="26"/>
      <c r="AK48" s="33">
        <v>200000</v>
      </c>
      <c r="AL48" s="26"/>
      <c r="AM48" s="33">
        <v>220000</v>
      </c>
      <c r="AN48" s="26"/>
      <c r="AO48" s="33">
        <v>220000</v>
      </c>
      <c r="AP48" s="67">
        <f t="shared" si="31"/>
        <v>200000</v>
      </c>
      <c r="AQ48" s="34">
        <f t="shared" si="32"/>
        <v>110.00000000000001</v>
      </c>
      <c r="AR48" s="67">
        <f t="shared" si="33"/>
        <v>220000</v>
      </c>
      <c r="AS48" s="34">
        <f t="shared" si="34"/>
        <v>100</v>
      </c>
      <c r="AT48" s="28">
        <f t="shared" si="35"/>
        <v>131</v>
      </c>
      <c r="AU48" s="28">
        <f t="shared" si="36"/>
        <v>135.6</v>
      </c>
      <c r="AV48" s="28">
        <f t="shared" si="37"/>
        <v>266.6</v>
      </c>
      <c r="AW48" s="24">
        <f t="shared" si="38"/>
        <v>5</v>
      </c>
      <c r="AX48" s="24">
        <f t="shared" si="39"/>
        <v>0</v>
      </c>
      <c r="AY48" s="24">
        <f t="shared" si="40"/>
        <v>5</v>
      </c>
      <c r="AZ48" s="156">
        <f t="shared" si="41"/>
        <v>52272</v>
      </c>
      <c r="BA48" s="35">
        <f t="shared" si="42"/>
        <v>0.2376</v>
      </c>
      <c r="BB48" s="35">
        <f t="shared" si="43"/>
        <v>32.3136</v>
      </c>
      <c r="BC48" s="36">
        <f t="shared" si="44"/>
        <v>32.218560000000004</v>
      </c>
      <c r="BD48" s="36">
        <f t="shared" si="45"/>
        <v>64.53216</v>
      </c>
      <c r="BE48" s="36" t="str">
        <f t="shared" si="46"/>
        <v>yes</v>
      </c>
      <c r="BF48" s="37">
        <f t="shared" si="47"/>
        <v>0.2376</v>
      </c>
      <c r="BG48" s="37">
        <f t="shared" si="48"/>
        <v>31.125600000000002</v>
      </c>
      <c r="BH48" s="36">
        <f t="shared" si="49"/>
        <v>32.218560000000004</v>
      </c>
      <c r="BI48" s="38">
        <f t="shared" si="50"/>
        <v>63.34416</v>
      </c>
      <c r="BJ48" s="1" t="str">
        <f t="shared" si="51"/>
        <v>yes</v>
      </c>
      <c r="BK48" s="37">
        <f t="shared" si="52"/>
        <v>1.1879999999999988</v>
      </c>
      <c r="BL48" s="37">
        <f t="shared" si="53"/>
        <v>0</v>
      </c>
      <c r="BM48" s="7">
        <f t="shared" si="54"/>
        <v>1.1880000000000024</v>
      </c>
      <c r="BN48" s="7">
        <f t="shared" si="55"/>
        <v>0</v>
      </c>
    </row>
    <row r="49" spans="2:66" ht="15.75" customHeight="1">
      <c r="B49" s="4" t="s">
        <v>12</v>
      </c>
      <c r="C49" s="4" t="s">
        <v>97</v>
      </c>
      <c r="D49" s="157" t="s">
        <v>116</v>
      </c>
      <c r="E49" s="158" t="s">
        <v>18</v>
      </c>
      <c r="F49" s="79">
        <f t="shared" si="14"/>
        <v>52272</v>
      </c>
      <c r="G49" s="80">
        <f t="shared" si="15"/>
        <v>40</v>
      </c>
      <c r="H49" s="149">
        <f t="shared" si="16"/>
        <v>4</v>
      </c>
      <c r="I49" s="150">
        <f t="shared" si="17"/>
        <v>65.287728</v>
      </c>
      <c r="J49" s="83">
        <f t="shared" si="18"/>
        <v>52.681085217391306</v>
      </c>
      <c r="K49" s="84">
        <f t="shared" si="19"/>
        <v>52.681085217391306</v>
      </c>
      <c r="L49" s="151">
        <f t="shared" si="20"/>
        <v>20.454260869565218</v>
      </c>
      <c r="M49" s="152">
        <f t="shared" si="21"/>
        <v>20.454260869565218</v>
      </c>
      <c r="N49" s="188">
        <f t="shared" si="22"/>
        <v>0</v>
      </c>
      <c r="O49" s="153">
        <f t="shared" si="23"/>
        <v>32.22682434782609</v>
      </c>
      <c r="P49" s="154">
        <f t="shared" si="24"/>
        <v>32.22682434782609</v>
      </c>
      <c r="Q49" s="176">
        <f t="shared" si="25"/>
        <v>0</v>
      </c>
      <c r="R49" s="100">
        <f t="shared" si="26"/>
        <v>0</v>
      </c>
      <c r="S49" s="184">
        <f t="shared" si="27"/>
        <v>0</v>
      </c>
      <c r="U49" s="208" t="s">
        <v>97</v>
      </c>
      <c r="V49" s="4" t="s">
        <v>12</v>
      </c>
      <c r="X49" s="32">
        <v>118</v>
      </c>
      <c r="Y49" s="32">
        <v>90</v>
      </c>
      <c r="Z49" s="32">
        <v>90</v>
      </c>
      <c r="AA49" s="32">
        <v>131.8</v>
      </c>
      <c r="AB49" s="32"/>
      <c r="AC49" s="32">
        <v>141.8</v>
      </c>
      <c r="AD49" s="32"/>
      <c r="AE49" s="32">
        <v>141.8</v>
      </c>
      <c r="AF49" s="32"/>
      <c r="AG49" s="32">
        <f t="shared" si="28"/>
        <v>249.8</v>
      </c>
      <c r="AH49" s="32">
        <f t="shared" si="29"/>
        <v>231.8</v>
      </c>
      <c r="AI49" s="32">
        <f t="shared" si="30"/>
        <v>231.8</v>
      </c>
      <c r="AJ49" s="26"/>
      <c r="AK49" s="33">
        <v>200000</v>
      </c>
      <c r="AL49" s="26"/>
      <c r="AM49" s="33">
        <v>230000</v>
      </c>
      <c r="AN49" s="26"/>
      <c r="AO49" s="33">
        <v>230000</v>
      </c>
      <c r="AP49" s="67">
        <f t="shared" si="31"/>
        <v>200000</v>
      </c>
      <c r="AQ49" s="34">
        <f t="shared" si="32"/>
        <v>114.99999999999999</v>
      </c>
      <c r="AR49" s="67">
        <f t="shared" si="33"/>
        <v>230000</v>
      </c>
      <c r="AS49" s="34">
        <f t="shared" si="34"/>
        <v>100</v>
      </c>
      <c r="AT49" s="28">
        <f t="shared" si="35"/>
        <v>90</v>
      </c>
      <c r="AU49" s="28">
        <f t="shared" si="36"/>
        <v>141.8</v>
      </c>
      <c r="AV49" s="28">
        <f t="shared" si="37"/>
        <v>231.8</v>
      </c>
      <c r="AW49" s="24">
        <f t="shared" si="38"/>
        <v>0</v>
      </c>
      <c r="AX49" s="24">
        <f t="shared" si="39"/>
        <v>0</v>
      </c>
      <c r="AY49" s="24">
        <f t="shared" si="40"/>
        <v>0</v>
      </c>
      <c r="AZ49" s="156">
        <f t="shared" si="41"/>
        <v>52272</v>
      </c>
      <c r="BA49" s="35">
        <f t="shared" si="42"/>
        <v>0.2272695652173913</v>
      </c>
      <c r="BB49" s="35">
        <f t="shared" si="43"/>
        <v>20.454260869565218</v>
      </c>
      <c r="BC49" s="36">
        <f t="shared" si="44"/>
        <v>32.22682434782609</v>
      </c>
      <c r="BD49" s="36">
        <f t="shared" si="45"/>
        <v>52.681085217391306</v>
      </c>
      <c r="BE49" s="36" t="str">
        <f t="shared" si="46"/>
        <v>yes</v>
      </c>
      <c r="BF49" s="37">
        <f t="shared" si="47"/>
        <v>0.2272695652173913</v>
      </c>
      <c r="BG49" s="37">
        <f t="shared" si="48"/>
        <v>20.454260869565218</v>
      </c>
      <c r="BH49" s="36">
        <f t="shared" si="49"/>
        <v>32.22682434782609</v>
      </c>
      <c r="BI49" s="38">
        <f t="shared" si="50"/>
        <v>52.681085217391306</v>
      </c>
      <c r="BJ49" s="1" t="str">
        <f t="shared" si="51"/>
        <v>yes</v>
      </c>
      <c r="BK49" s="37">
        <f t="shared" si="52"/>
        <v>0</v>
      </c>
      <c r="BL49" s="37">
        <f t="shared" si="53"/>
        <v>0</v>
      </c>
      <c r="BM49" s="7">
        <f t="shared" si="54"/>
        <v>0</v>
      </c>
      <c r="BN49" s="7">
        <f t="shared" si="55"/>
        <v>0</v>
      </c>
    </row>
    <row r="50" spans="2:66" ht="15.75" customHeight="1">
      <c r="B50" s="4" t="s">
        <v>12</v>
      </c>
      <c r="C50" s="4" t="s">
        <v>97</v>
      </c>
      <c r="D50" s="157" t="s">
        <v>116</v>
      </c>
      <c r="E50" s="158" t="s">
        <v>19</v>
      </c>
      <c r="F50" s="79">
        <f t="shared" si="14"/>
        <v>52272</v>
      </c>
      <c r="G50" s="80">
        <f t="shared" si="15"/>
        <v>40</v>
      </c>
      <c r="H50" s="149">
        <f t="shared" si="16"/>
        <v>4</v>
      </c>
      <c r="I50" s="150">
        <f t="shared" si="17"/>
        <v>65.287728</v>
      </c>
      <c r="J50" s="83">
        <f t="shared" si="18"/>
        <v>52.681085217391306</v>
      </c>
      <c r="K50" s="84">
        <f t="shared" si="19"/>
        <v>52.681085217391306</v>
      </c>
      <c r="L50" s="151">
        <f t="shared" si="20"/>
        <v>20.454260869565218</v>
      </c>
      <c r="M50" s="152">
        <f t="shared" si="21"/>
        <v>20.454260869565218</v>
      </c>
      <c r="N50" s="188">
        <f t="shared" si="22"/>
        <v>0</v>
      </c>
      <c r="O50" s="153">
        <f t="shared" si="23"/>
        <v>32.22682434782609</v>
      </c>
      <c r="P50" s="154">
        <f t="shared" si="24"/>
        <v>32.22682434782609</v>
      </c>
      <c r="Q50" s="176">
        <f t="shared" si="25"/>
        <v>0</v>
      </c>
      <c r="R50" s="100">
        <f t="shared" si="26"/>
        <v>0</v>
      </c>
      <c r="S50" s="184">
        <f t="shared" si="27"/>
        <v>0</v>
      </c>
      <c r="U50" s="208" t="s">
        <v>97</v>
      </c>
      <c r="V50" s="4" t="s">
        <v>12</v>
      </c>
      <c r="X50" s="32">
        <v>118</v>
      </c>
      <c r="Y50" s="32">
        <v>90</v>
      </c>
      <c r="Z50" s="32">
        <v>90</v>
      </c>
      <c r="AA50" s="32">
        <v>131.8</v>
      </c>
      <c r="AB50" s="32"/>
      <c r="AC50" s="32">
        <v>141.8</v>
      </c>
      <c r="AD50" s="32"/>
      <c r="AE50" s="32">
        <v>141.8</v>
      </c>
      <c r="AF50" s="32"/>
      <c r="AG50" s="32">
        <f t="shared" si="28"/>
        <v>249.8</v>
      </c>
      <c r="AH50" s="32">
        <f t="shared" si="29"/>
        <v>231.8</v>
      </c>
      <c r="AI50" s="32">
        <f t="shared" si="30"/>
        <v>231.8</v>
      </c>
      <c r="AJ50" s="26"/>
      <c r="AK50" s="33">
        <v>200000</v>
      </c>
      <c r="AL50" s="26"/>
      <c r="AM50" s="33">
        <v>230000</v>
      </c>
      <c r="AN50" s="26"/>
      <c r="AO50" s="33">
        <v>230000</v>
      </c>
      <c r="AP50" s="67">
        <f t="shared" si="31"/>
        <v>200000</v>
      </c>
      <c r="AQ50" s="34">
        <f t="shared" si="32"/>
        <v>114.99999999999999</v>
      </c>
      <c r="AR50" s="67">
        <f t="shared" si="33"/>
        <v>230000</v>
      </c>
      <c r="AS50" s="34">
        <f t="shared" si="34"/>
        <v>100</v>
      </c>
      <c r="AT50" s="28">
        <f t="shared" si="35"/>
        <v>90</v>
      </c>
      <c r="AU50" s="28">
        <f t="shared" si="36"/>
        <v>141.8</v>
      </c>
      <c r="AV50" s="28">
        <f t="shared" si="37"/>
        <v>231.8</v>
      </c>
      <c r="AW50" s="24">
        <f t="shared" si="38"/>
        <v>0</v>
      </c>
      <c r="AX50" s="24">
        <f t="shared" si="39"/>
        <v>0</v>
      </c>
      <c r="AY50" s="24">
        <f t="shared" si="40"/>
        <v>0</v>
      </c>
      <c r="AZ50" s="156">
        <f t="shared" si="41"/>
        <v>52272</v>
      </c>
      <c r="BA50" s="35">
        <f t="shared" si="42"/>
        <v>0.2272695652173913</v>
      </c>
      <c r="BB50" s="35">
        <f t="shared" si="43"/>
        <v>20.454260869565218</v>
      </c>
      <c r="BC50" s="36">
        <f t="shared" si="44"/>
        <v>32.22682434782609</v>
      </c>
      <c r="BD50" s="36">
        <f t="shared" si="45"/>
        <v>52.681085217391306</v>
      </c>
      <c r="BE50" s="36" t="str">
        <f t="shared" si="46"/>
        <v>yes</v>
      </c>
      <c r="BF50" s="37">
        <f t="shared" si="47"/>
        <v>0.2272695652173913</v>
      </c>
      <c r="BG50" s="37">
        <f t="shared" si="48"/>
        <v>20.454260869565218</v>
      </c>
      <c r="BH50" s="36">
        <f t="shared" si="49"/>
        <v>32.22682434782609</v>
      </c>
      <c r="BI50" s="38">
        <f t="shared" si="50"/>
        <v>52.681085217391306</v>
      </c>
      <c r="BJ50" s="1" t="str">
        <f t="shared" si="51"/>
        <v>yes</v>
      </c>
      <c r="BK50" s="37">
        <f t="shared" si="52"/>
        <v>0</v>
      </c>
      <c r="BL50" s="37">
        <f t="shared" si="53"/>
        <v>0</v>
      </c>
      <c r="BM50" s="7">
        <f t="shared" si="54"/>
        <v>0</v>
      </c>
      <c r="BN50" s="7">
        <f t="shared" si="55"/>
        <v>0</v>
      </c>
    </row>
    <row r="51" spans="2:66" ht="15.75" customHeight="1">
      <c r="B51" s="4" t="s">
        <v>12</v>
      </c>
      <c r="C51" s="4" t="s">
        <v>97</v>
      </c>
      <c r="D51" s="157" t="s">
        <v>116</v>
      </c>
      <c r="E51" s="158" t="s">
        <v>193</v>
      </c>
      <c r="F51" s="79">
        <f t="shared" si="14"/>
        <v>52272</v>
      </c>
      <c r="G51" s="80">
        <f t="shared" si="15"/>
        <v>40</v>
      </c>
      <c r="H51" s="149">
        <f t="shared" si="16"/>
        <v>4</v>
      </c>
      <c r="I51" s="150">
        <f t="shared" si="17"/>
        <v>56.77193739130435</v>
      </c>
      <c r="J51" s="83">
        <f t="shared" si="18"/>
        <v>52.681085217391306</v>
      </c>
      <c r="K51" s="84">
        <f t="shared" si="19"/>
        <v>52.681085217391306</v>
      </c>
      <c r="L51" s="151">
        <f t="shared" si="20"/>
        <v>20.454260869565218</v>
      </c>
      <c r="M51" s="152">
        <f t="shared" si="21"/>
        <v>20.454260869565218</v>
      </c>
      <c r="N51" s="188">
        <f t="shared" si="22"/>
        <v>0</v>
      </c>
      <c r="O51" s="153">
        <f t="shared" si="23"/>
        <v>32.22682434782609</v>
      </c>
      <c r="P51" s="154">
        <f t="shared" si="24"/>
        <v>32.22682434782609</v>
      </c>
      <c r="Q51" s="176">
        <f t="shared" si="25"/>
        <v>0</v>
      </c>
      <c r="R51" s="100">
        <f t="shared" si="26"/>
        <v>0</v>
      </c>
      <c r="S51" s="184">
        <f t="shared" si="27"/>
        <v>0</v>
      </c>
      <c r="U51" s="208" t="s">
        <v>97</v>
      </c>
      <c r="V51" s="4" t="s">
        <v>12</v>
      </c>
      <c r="X51" s="163">
        <v>118</v>
      </c>
      <c r="Y51" s="163">
        <v>90</v>
      </c>
      <c r="Z51" s="163">
        <v>90</v>
      </c>
      <c r="AA51" s="206">
        <v>131.8</v>
      </c>
      <c r="AB51" s="163"/>
      <c r="AC51" s="206">
        <v>141.8</v>
      </c>
      <c r="AD51" s="163"/>
      <c r="AE51" s="206">
        <v>141.8</v>
      </c>
      <c r="AF51" s="163"/>
      <c r="AG51" s="32">
        <f t="shared" si="28"/>
        <v>249.8</v>
      </c>
      <c r="AH51" s="32">
        <f t="shared" si="29"/>
        <v>231.8</v>
      </c>
      <c r="AI51" s="32">
        <f t="shared" si="30"/>
        <v>231.8</v>
      </c>
      <c r="AJ51" s="33"/>
      <c r="AK51" s="33">
        <v>230000</v>
      </c>
      <c r="AL51" s="33"/>
      <c r="AM51" s="33">
        <v>230000</v>
      </c>
      <c r="AN51" s="33"/>
      <c r="AO51" s="33">
        <v>230000</v>
      </c>
      <c r="AP51" s="67">
        <f t="shared" si="31"/>
        <v>230000</v>
      </c>
      <c r="AQ51" s="34">
        <f t="shared" si="32"/>
        <v>100</v>
      </c>
      <c r="AR51" s="67">
        <f t="shared" si="33"/>
        <v>230000</v>
      </c>
      <c r="AS51" s="34">
        <f t="shared" si="34"/>
        <v>100</v>
      </c>
      <c r="AT51" s="28">
        <f t="shared" si="35"/>
        <v>90</v>
      </c>
      <c r="AU51" s="28">
        <f t="shared" si="36"/>
        <v>141.8</v>
      </c>
      <c r="AV51" s="28">
        <f t="shared" si="37"/>
        <v>231.8</v>
      </c>
      <c r="AW51" s="24">
        <f t="shared" si="38"/>
        <v>0</v>
      </c>
      <c r="AX51" s="24">
        <f t="shared" si="39"/>
        <v>0</v>
      </c>
      <c r="AY51" s="24">
        <f t="shared" si="40"/>
        <v>0</v>
      </c>
      <c r="AZ51" s="156">
        <f t="shared" si="41"/>
        <v>52272</v>
      </c>
      <c r="BA51" s="35">
        <f t="shared" si="42"/>
        <v>0.2272695652173913</v>
      </c>
      <c r="BB51" s="35">
        <f t="shared" si="43"/>
        <v>20.454260869565218</v>
      </c>
      <c r="BC51" s="36">
        <f t="shared" si="44"/>
        <v>32.22682434782609</v>
      </c>
      <c r="BD51" s="36">
        <f t="shared" si="45"/>
        <v>52.681085217391306</v>
      </c>
      <c r="BE51" s="36" t="str">
        <f t="shared" si="46"/>
        <v>yes</v>
      </c>
      <c r="BF51" s="37">
        <f t="shared" si="47"/>
        <v>0.2272695652173913</v>
      </c>
      <c r="BG51" s="37">
        <f t="shared" si="48"/>
        <v>20.454260869565218</v>
      </c>
      <c r="BH51" s="36">
        <f t="shared" si="49"/>
        <v>32.22682434782609</v>
      </c>
      <c r="BI51" s="38">
        <f t="shared" si="50"/>
        <v>52.681085217391306</v>
      </c>
      <c r="BJ51" s="1" t="str">
        <f t="shared" si="51"/>
        <v>yes</v>
      </c>
      <c r="BK51" s="37">
        <f t="shared" si="52"/>
        <v>0</v>
      </c>
      <c r="BL51" s="37">
        <f t="shared" si="53"/>
        <v>0</v>
      </c>
      <c r="BM51" s="7">
        <f t="shared" si="54"/>
        <v>0</v>
      </c>
      <c r="BN51" s="7">
        <f t="shared" si="55"/>
        <v>0</v>
      </c>
    </row>
    <row r="52" spans="2:66" ht="15.75" customHeight="1">
      <c r="B52" s="4" t="s">
        <v>12</v>
      </c>
      <c r="C52" s="4" t="s">
        <v>97</v>
      </c>
      <c r="D52" s="157" t="s">
        <v>116</v>
      </c>
      <c r="E52" s="158" t="s">
        <v>20</v>
      </c>
      <c r="F52" s="79">
        <f t="shared" si="14"/>
        <v>52272</v>
      </c>
      <c r="G52" s="80">
        <f t="shared" si="15"/>
        <v>40</v>
      </c>
      <c r="H52" s="149">
        <f t="shared" si="16"/>
        <v>4</v>
      </c>
      <c r="I52" s="150">
        <f t="shared" si="17"/>
        <v>56.77193739130435</v>
      </c>
      <c r="J52" s="83">
        <f t="shared" si="18"/>
        <v>52.681085217391306</v>
      </c>
      <c r="K52" s="84">
        <f t="shared" si="19"/>
        <v>52.681085217391306</v>
      </c>
      <c r="L52" s="151">
        <f t="shared" si="20"/>
        <v>20.454260869565218</v>
      </c>
      <c r="M52" s="152">
        <f t="shared" si="21"/>
        <v>20.454260869565218</v>
      </c>
      <c r="N52" s="188">
        <f t="shared" si="22"/>
        <v>0</v>
      </c>
      <c r="O52" s="153">
        <f t="shared" si="23"/>
        <v>32.22682434782609</v>
      </c>
      <c r="P52" s="154">
        <f t="shared" si="24"/>
        <v>32.22682434782609</v>
      </c>
      <c r="Q52" s="176">
        <f t="shared" si="25"/>
        <v>0</v>
      </c>
      <c r="R52" s="100">
        <f t="shared" si="26"/>
        <v>0</v>
      </c>
      <c r="S52" s="184">
        <f t="shared" si="27"/>
        <v>0</v>
      </c>
      <c r="U52" s="208" t="s">
        <v>97</v>
      </c>
      <c r="V52" s="4" t="s">
        <v>12</v>
      </c>
      <c r="X52" s="32">
        <v>118</v>
      </c>
      <c r="Y52" s="32">
        <v>90</v>
      </c>
      <c r="Z52" s="32">
        <v>90</v>
      </c>
      <c r="AA52" s="32">
        <v>131.8</v>
      </c>
      <c r="AB52" s="32"/>
      <c r="AC52" s="32">
        <v>141.8</v>
      </c>
      <c r="AD52" s="32"/>
      <c r="AE52" s="32">
        <v>141.8</v>
      </c>
      <c r="AF52" s="32"/>
      <c r="AG52" s="32">
        <f t="shared" si="28"/>
        <v>249.8</v>
      </c>
      <c r="AH52" s="32">
        <f t="shared" si="29"/>
        <v>231.8</v>
      </c>
      <c r="AI52" s="32">
        <f t="shared" si="30"/>
        <v>231.8</v>
      </c>
      <c r="AJ52" s="26"/>
      <c r="AK52" s="33">
        <v>230000</v>
      </c>
      <c r="AL52" s="26"/>
      <c r="AM52" s="33">
        <v>230000</v>
      </c>
      <c r="AN52" s="26"/>
      <c r="AO52" s="33">
        <v>230000</v>
      </c>
      <c r="AP52" s="67">
        <f t="shared" si="31"/>
        <v>230000</v>
      </c>
      <c r="AQ52" s="34">
        <f t="shared" si="32"/>
        <v>100</v>
      </c>
      <c r="AR52" s="67">
        <f t="shared" si="33"/>
        <v>230000</v>
      </c>
      <c r="AS52" s="34">
        <f t="shared" si="34"/>
        <v>100</v>
      </c>
      <c r="AT52" s="28">
        <f t="shared" si="35"/>
        <v>90</v>
      </c>
      <c r="AU52" s="28">
        <f t="shared" si="36"/>
        <v>141.8</v>
      </c>
      <c r="AV52" s="28">
        <f t="shared" si="37"/>
        <v>231.8</v>
      </c>
      <c r="AW52" s="24">
        <f t="shared" si="38"/>
        <v>0</v>
      </c>
      <c r="AX52" s="24">
        <f t="shared" si="39"/>
        <v>0</v>
      </c>
      <c r="AY52" s="24">
        <f t="shared" si="40"/>
        <v>0</v>
      </c>
      <c r="AZ52" s="156">
        <f t="shared" si="41"/>
        <v>52272</v>
      </c>
      <c r="BA52" s="35">
        <f t="shared" si="42"/>
        <v>0.2272695652173913</v>
      </c>
      <c r="BB52" s="35">
        <f t="shared" si="43"/>
        <v>20.454260869565218</v>
      </c>
      <c r="BC52" s="36">
        <f t="shared" si="44"/>
        <v>32.22682434782609</v>
      </c>
      <c r="BD52" s="36">
        <f t="shared" si="45"/>
        <v>52.681085217391306</v>
      </c>
      <c r="BE52" s="36" t="str">
        <f t="shared" si="46"/>
        <v>yes</v>
      </c>
      <c r="BF52" s="37">
        <f t="shared" si="47"/>
        <v>0.2272695652173913</v>
      </c>
      <c r="BG52" s="37">
        <f t="shared" si="48"/>
        <v>20.454260869565218</v>
      </c>
      <c r="BH52" s="36">
        <f t="shared" si="49"/>
        <v>32.22682434782609</v>
      </c>
      <c r="BI52" s="38">
        <f t="shared" si="50"/>
        <v>52.681085217391306</v>
      </c>
      <c r="BJ52" s="1" t="str">
        <f t="shared" si="51"/>
        <v>yes</v>
      </c>
      <c r="BK52" s="37">
        <f t="shared" si="52"/>
        <v>0</v>
      </c>
      <c r="BL52" s="37">
        <f t="shared" si="53"/>
        <v>0</v>
      </c>
      <c r="BM52" s="7">
        <f t="shared" si="54"/>
        <v>0</v>
      </c>
      <c r="BN52" s="7">
        <f t="shared" si="55"/>
        <v>0</v>
      </c>
    </row>
    <row r="53" spans="4:66" ht="15.75" customHeight="1">
      <c r="D53" s="157" t="s">
        <v>116</v>
      </c>
      <c r="E53" s="158" t="s">
        <v>55</v>
      </c>
      <c r="F53" s="79">
        <f t="shared" si="14"/>
        <v>52272</v>
      </c>
      <c r="G53" s="80">
        <f t="shared" si="15"/>
        <v>40</v>
      </c>
      <c r="H53" s="149">
        <f t="shared" si="16"/>
        <v>4</v>
      </c>
      <c r="I53" s="150">
        <f t="shared" si="17"/>
        <v>56.77193739130435</v>
      </c>
      <c r="J53" s="83">
        <f t="shared" si="18"/>
        <v>52.681085217391306</v>
      </c>
      <c r="K53" s="84">
        <f t="shared" si="19"/>
        <v>52.681085217391306</v>
      </c>
      <c r="L53" s="151">
        <f t="shared" si="20"/>
        <v>20.454260869565218</v>
      </c>
      <c r="M53" s="152">
        <f t="shared" si="21"/>
        <v>20.454260869565218</v>
      </c>
      <c r="N53" s="188">
        <f t="shared" si="22"/>
        <v>0</v>
      </c>
      <c r="O53" s="153">
        <f t="shared" si="23"/>
        <v>32.22682434782609</v>
      </c>
      <c r="P53" s="154">
        <f t="shared" si="24"/>
        <v>32.22682434782609</v>
      </c>
      <c r="Q53" s="176">
        <f t="shared" si="25"/>
        <v>0</v>
      </c>
      <c r="R53" s="100">
        <f t="shared" si="26"/>
        <v>0</v>
      </c>
      <c r="S53" s="184">
        <f t="shared" si="27"/>
        <v>0</v>
      </c>
      <c r="U53" s="208" t="s">
        <v>97</v>
      </c>
      <c r="V53" s="4" t="s">
        <v>12</v>
      </c>
      <c r="X53" s="32">
        <v>118</v>
      </c>
      <c r="Y53" s="32">
        <v>90</v>
      </c>
      <c r="Z53" s="32">
        <v>90</v>
      </c>
      <c r="AA53" s="32">
        <v>131.8</v>
      </c>
      <c r="AB53" s="32"/>
      <c r="AC53" s="32">
        <v>141.8</v>
      </c>
      <c r="AD53" s="32"/>
      <c r="AE53" s="32">
        <v>141.8</v>
      </c>
      <c r="AF53" s="32"/>
      <c r="AG53" s="32">
        <f t="shared" si="28"/>
        <v>249.8</v>
      </c>
      <c r="AH53" s="32">
        <f t="shared" si="29"/>
        <v>231.8</v>
      </c>
      <c r="AI53" s="32">
        <f t="shared" si="30"/>
        <v>231.8</v>
      </c>
      <c r="AJ53" s="26"/>
      <c r="AK53" s="33">
        <v>230000</v>
      </c>
      <c r="AL53" s="26"/>
      <c r="AM53" s="33">
        <v>230000</v>
      </c>
      <c r="AN53" s="26"/>
      <c r="AO53" s="33">
        <v>230000</v>
      </c>
      <c r="AP53" s="67">
        <f t="shared" si="31"/>
        <v>230000</v>
      </c>
      <c r="AQ53" s="34">
        <f t="shared" si="32"/>
        <v>100</v>
      </c>
      <c r="AR53" s="67">
        <f t="shared" si="33"/>
        <v>230000</v>
      </c>
      <c r="AS53" s="34">
        <f t="shared" si="34"/>
        <v>100</v>
      </c>
      <c r="AT53" s="28">
        <f t="shared" si="35"/>
        <v>90</v>
      </c>
      <c r="AU53" s="28">
        <f t="shared" si="36"/>
        <v>141.8</v>
      </c>
      <c r="AV53" s="28">
        <f t="shared" si="37"/>
        <v>231.8</v>
      </c>
      <c r="AW53" s="24">
        <f t="shared" si="38"/>
        <v>0</v>
      </c>
      <c r="AX53" s="24">
        <f t="shared" si="39"/>
        <v>0</v>
      </c>
      <c r="AY53" s="24">
        <f t="shared" si="40"/>
        <v>0</v>
      </c>
      <c r="AZ53" s="156">
        <f t="shared" si="41"/>
        <v>52272</v>
      </c>
      <c r="BA53" s="35">
        <f t="shared" si="42"/>
        <v>0.2272695652173913</v>
      </c>
      <c r="BB53" s="35">
        <f t="shared" si="43"/>
        <v>20.454260869565218</v>
      </c>
      <c r="BC53" s="36">
        <f t="shared" si="44"/>
        <v>32.22682434782609</v>
      </c>
      <c r="BD53" s="36">
        <f t="shared" si="45"/>
        <v>52.681085217391306</v>
      </c>
      <c r="BE53" s="36" t="str">
        <f t="shared" si="46"/>
        <v>yes</v>
      </c>
      <c r="BF53" s="37">
        <f t="shared" si="47"/>
        <v>0.2272695652173913</v>
      </c>
      <c r="BG53" s="37">
        <f t="shared" si="48"/>
        <v>20.454260869565218</v>
      </c>
      <c r="BH53" s="36">
        <f t="shared" si="49"/>
        <v>32.22682434782609</v>
      </c>
      <c r="BI53" s="38">
        <f t="shared" si="50"/>
        <v>52.681085217391306</v>
      </c>
      <c r="BJ53" s="1" t="str">
        <f t="shared" si="51"/>
        <v>yes</v>
      </c>
      <c r="BK53" s="37">
        <f t="shared" si="52"/>
        <v>0</v>
      </c>
      <c r="BL53" s="37">
        <f t="shared" si="53"/>
        <v>0</v>
      </c>
      <c r="BM53" s="7">
        <f t="shared" si="54"/>
        <v>0</v>
      </c>
      <c r="BN53" s="7">
        <f t="shared" si="55"/>
        <v>0</v>
      </c>
    </row>
    <row r="54" spans="2:66" ht="15.75" customHeight="1">
      <c r="B54" s="4" t="s">
        <v>12</v>
      </c>
      <c r="C54" s="29" t="s">
        <v>97</v>
      </c>
      <c r="D54" s="157" t="s">
        <v>116</v>
      </c>
      <c r="E54" s="158" t="s">
        <v>198</v>
      </c>
      <c r="F54" s="79">
        <f t="shared" si="14"/>
        <v>52272</v>
      </c>
      <c r="G54" s="80">
        <f t="shared" si="15"/>
        <v>40</v>
      </c>
      <c r="H54" s="149">
        <f t="shared" si="16"/>
        <v>4</v>
      </c>
      <c r="I54" s="150">
        <f t="shared" si="17"/>
        <v>56.77193739130435</v>
      </c>
      <c r="J54" s="83">
        <f t="shared" si="18"/>
        <v>52.681085217391306</v>
      </c>
      <c r="K54" s="84">
        <f t="shared" si="19"/>
        <v>52.681085217391306</v>
      </c>
      <c r="L54" s="151">
        <f t="shared" si="20"/>
        <v>20.454260869565218</v>
      </c>
      <c r="M54" s="152">
        <f t="shared" si="21"/>
        <v>20.454260869565218</v>
      </c>
      <c r="N54" s="188">
        <f t="shared" si="22"/>
        <v>0</v>
      </c>
      <c r="O54" s="153">
        <f t="shared" si="23"/>
        <v>32.22682434782609</v>
      </c>
      <c r="P54" s="154">
        <f t="shared" si="24"/>
        <v>32.22682434782609</v>
      </c>
      <c r="Q54" s="176">
        <f t="shared" si="25"/>
        <v>0</v>
      </c>
      <c r="R54" s="100">
        <f t="shared" si="26"/>
        <v>0</v>
      </c>
      <c r="S54" s="184">
        <f t="shared" si="27"/>
        <v>0</v>
      </c>
      <c r="U54" s="207" t="s">
        <v>97</v>
      </c>
      <c r="V54" s="4" t="s">
        <v>12</v>
      </c>
      <c r="X54" s="163">
        <v>118</v>
      </c>
      <c r="Y54" s="163">
        <v>90</v>
      </c>
      <c r="Z54" s="163">
        <v>90</v>
      </c>
      <c r="AA54" s="32">
        <v>131.8</v>
      </c>
      <c r="AB54" s="163"/>
      <c r="AC54" s="32">
        <v>141.8</v>
      </c>
      <c r="AD54" s="163"/>
      <c r="AE54" s="32">
        <v>141.8</v>
      </c>
      <c r="AF54" s="163"/>
      <c r="AG54" s="32">
        <f t="shared" si="28"/>
        <v>249.8</v>
      </c>
      <c r="AH54" s="32">
        <f t="shared" si="29"/>
        <v>231.8</v>
      </c>
      <c r="AI54" s="32">
        <f t="shared" si="30"/>
        <v>231.8</v>
      </c>
      <c r="AJ54" s="33"/>
      <c r="AK54" s="33">
        <v>230000</v>
      </c>
      <c r="AL54" s="33"/>
      <c r="AM54" s="33">
        <v>230000</v>
      </c>
      <c r="AN54" s="33"/>
      <c r="AO54" s="33">
        <v>230000</v>
      </c>
      <c r="AP54" s="67">
        <f t="shared" si="31"/>
        <v>230000</v>
      </c>
      <c r="AQ54" s="34">
        <f t="shared" si="32"/>
        <v>100</v>
      </c>
      <c r="AR54" s="67">
        <f t="shared" si="33"/>
        <v>230000</v>
      </c>
      <c r="AS54" s="34">
        <f t="shared" si="34"/>
        <v>100</v>
      </c>
      <c r="AT54" s="28">
        <f t="shared" si="35"/>
        <v>90</v>
      </c>
      <c r="AU54" s="28">
        <f t="shared" si="36"/>
        <v>141.8</v>
      </c>
      <c r="AV54" s="28">
        <f t="shared" si="37"/>
        <v>231.8</v>
      </c>
      <c r="AW54" s="24">
        <f t="shared" si="38"/>
        <v>0</v>
      </c>
      <c r="AX54" s="24">
        <f t="shared" si="39"/>
        <v>0</v>
      </c>
      <c r="AY54" s="24">
        <f t="shared" si="40"/>
        <v>0</v>
      </c>
      <c r="AZ54" s="156">
        <f t="shared" si="41"/>
        <v>52272</v>
      </c>
      <c r="BA54" s="35">
        <f t="shared" si="42"/>
        <v>0.2272695652173913</v>
      </c>
      <c r="BB54" s="35">
        <f t="shared" si="43"/>
        <v>20.454260869565218</v>
      </c>
      <c r="BC54" s="36">
        <f t="shared" si="44"/>
        <v>32.22682434782609</v>
      </c>
      <c r="BD54" s="36">
        <f t="shared" si="45"/>
        <v>52.681085217391306</v>
      </c>
      <c r="BE54" s="36" t="str">
        <f t="shared" si="46"/>
        <v>yes</v>
      </c>
      <c r="BF54" s="37">
        <f t="shared" si="47"/>
        <v>0.2272695652173913</v>
      </c>
      <c r="BG54" s="37">
        <f t="shared" si="48"/>
        <v>20.454260869565218</v>
      </c>
      <c r="BH54" s="36">
        <f t="shared" si="49"/>
        <v>32.22682434782609</v>
      </c>
      <c r="BI54" s="38">
        <f t="shared" si="50"/>
        <v>52.681085217391306</v>
      </c>
      <c r="BJ54" s="1" t="str">
        <f t="shared" si="51"/>
        <v>yes</v>
      </c>
      <c r="BK54" s="37">
        <f t="shared" si="52"/>
        <v>0</v>
      </c>
      <c r="BL54" s="37">
        <f t="shared" si="53"/>
        <v>0</v>
      </c>
      <c r="BM54" s="7">
        <f t="shared" si="54"/>
        <v>0</v>
      </c>
      <c r="BN54" s="7">
        <f t="shared" si="55"/>
        <v>0</v>
      </c>
    </row>
    <row r="55" spans="3:66" ht="15.75" customHeight="1">
      <c r="C55" s="29"/>
      <c r="D55" s="157" t="s">
        <v>116</v>
      </c>
      <c r="E55" s="158" t="s">
        <v>37</v>
      </c>
      <c r="F55" s="79">
        <f t="shared" si="14"/>
        <v>52272</v>
      </c>
      <c r="G55" s="80">
        <f t="shared" si="15"/>
        <v>40</v>
      </c>
      <c r="H55" s="149">
        <f t="shared" si="16"/>
        <v>4</v>
      </c>
      <c r="I55" s="150">
        <f t="shared" si="17"/>
        <v>56.77193739130435</v>
      </c>
      <c r="J55" s="83">
        <f t="shared" si="18"/>
        <v>52.681085217391306</v>
      </c>
      <c r="K55" s="84">
        <f t="shared" si="19"/>
        <v>52.681085217391306</v>
      </c>
      <c r="L55" s="151">
        <f t="shared" si="20"/>
        <v>20.454260869565218</v>
      </c>
      <c r="M55" s="152">
        <f t="shared" si="21"/>
        <v>20.454260869565218</v>
      </c>
      <c r="N55" s="188">
        <f t="shared" si="22"/>
        <v>0</v>
      </c>
      <c r="O55" s="153">
        <f t="shared" si="23"/>
        <v>32.22682434782609</v>
      </c>
      <c r="P55" s="154">
        <f t="shared" si="24"/>
        <v>32.22682434782609</v>
      </c>
      <c r="Q55" s="176">
        <f t="shared" si="25"/>
        <v>0</v>
      </c>
      <c r="R55" s="100">
        <f t="shared" si="26"/>
        <v>0</v>
      </c>
      <c r="S55" s="184">
        <f t="shared" si="27"/>
        <v>0</v>
      </c>
      <c r="U55" s="207" t="s">
        <v>97</v>
      </c>
      <c r="V55" s="4" t="s">
        <v>12</v>
      </c>
      <c r="X55" s="163">
        <v>118</v>
      </c>
      <c r="Y55" s="163">
        <v>90</v>
      </c>
      <c r="Z55" s="163">
        <v>90</v>
      </c>
      <c r="AA55" s="32">
        <v>131.8</v>
      </c>
      <c r="AB55" s="163"/>
      <c r="AC55" s="32">
        <v>141.8</v>
      </c>
      <c r="AD55" s="163"/>
      <c r="AE55" s="32">
        <v>141.8</v>
      </c>
      <c r="AF55" s="163"/>
      <c r="AG55" s="32">
        <f t="shared" si="28"/>
        <v>249.8</v>
      </c>
      <c r="AH55" s="32">
        <f t="shared" si="29"/>
        <v>231.8</v>
      </c>
      <c r="AI55" s="32">
        <f t="shared" si="30"/>
        <v>231.8</v>
      </c>
      <c r="AJ55" s="33"/>
      <c r="AK55" s="33">
        <v>230000</v>
      </c>
      <c r="AL55" s="33"/>
      <c r="AM55" s="33">
        <v>230000</v>
      </c>
      <c r="AN55" s="33"/>
      <c r="AO55" s="33">
        <v>230000</v>
      </c>
      <c r="AP55" s="67">
        <f t="shared" si="31"/>
        <v>230000</v>
      </c>
      <c r="AQ55" s="34">
        <f t="shared" si="32"/>
        <v>100</v>
      </c>
      <c r="AR55" s="67">
        <f t="shared" si="33"/>
        <v>230000</v>
      </c>
      <c r="AS55" s="34">
        <f t="shared" si="34"/>
        <v>100</v>
      </c>
      <c r="AT55" s="28">
        <f t="shared" si="35"/>
        <v>90</v>
      </c>
      <c r="AU55" s="28">
        <f t="shared" si="36"/>
        <v>141.8</v>
      </c>
      <c r="AV55" s="28">
        <f t="shared" si="37"/>
        <v>231.8</v>
      </c>
      <c r="AW55" s="24">
        <f t="shared" si="38"/>
        <v>0</v>
      </c>
      <c r="AX55" s="24">
        <f t="shared" si="39"/>
        <v>0</v>
      </c>
      <c r="AY55" s="24">
        <f t="shared" si="40"/>
        <v>0</v>
      </c>
      <c r="AZ55" s="156">
        <f t="shared" si="41"/>
        <v>52272</v>
      </c>
      <c r="BA55" s="35">
        <f t="shared" si="42"/>
        <v>0.2272695652173913</v>
      </c>
      <c r="BB55" s="35">
        <f t="shared" si="43"/>
        <v>20.454260869565218</v>
      </c>
      <c r="BC55" s="36">
        <f t="shared" si="44"/>
        <v>32.22682434782609</v>
      </c>
      <c r="BD55" s="36">
        <f t="shared" si="45"/>
        <v>52.681085217391306</v>
      </c>
      <c r="BE55" s="36" t="str">
        <f t="shared" si="46"/>
        <v>yes</v>
      </c>
      <c r="BF55" s="37">
        <f t="shared" si="47"/>
        <v>0.2272695652173913</v>
      </c>
      <c r="BG55" s="37">
        <f t="shared" si="48"/>
        <v>20.454260869565218</v>
      </c>
      <c r="BH55" s="36">
        <f t="shared" si="49"/>
        <v>32.22682434782609</v>
      </c>
      <c r="BI55" s="38">
        <f t="shared" si="50"/>
        <v>52.681085217391306</v>
      </c>
      <c r="BJ55" s="1" t="str">
        <f t="shared" si="51"/>
        <v>yes</v>
      </c>
      <c r="BK55" s="37">
        <f t="shared" si="52"/>
        <v>0</v>
      </c>
      <c r="BL55" s="37">
        <f t="shared" si="53"/>
        <v>0</v>
      </c>
      <c r="BM55" s="7">
        <f t="shared" si="54"/>
        <v>0</v>
      </c>
      <c r="BN55" s="7">
        <f t="shared" si="55"/>
        <v>0</v>
      </c>
    </row>
    <row r="56" spans="2:66" ht="15.75" customHeight="1">
      <c r="B56" s="4" t="s">
        <v>12</v>
      </c>
      <c r="C56" s="29" t="s">
        <v>97</v>
      </c>
      <c r="D56" s="159" t="s">
        <v>184</v>
      </c>
      <c r="E56" s="158" t="s">
        <v>114</v>
      </c>
      <c r="F56" s="79">
        <f t="shared" si="14"/>
        <v>52272</v>
      </c>
      <c r="G56" s="80">
        <f t="shared" si="15"/>
        <v>40</v>
      </c>
      <c r="H56" s="149">
        <f t="shared" si="16"/>
        <v>4</v>
      </c>
      <c r="I56" s="150">
        <f t="shared" si="17"/>
        <v>58.59009391304348</v>
      </c>
      <c r="J56" s="83">
        <f t="shared" si="18"/>
        <v>62.680946086956524</v>
      </c>
      <c r="K56" s="84">
        <f t="shared" si="19"/>
        <v>64.49910260869567</v>
      </c>
      <c r="L56" s="151">
        <f t="shared" si="20"/>
        <v>30.454121739130436</v>
      </c>
      <c r="M56" s="152">
        <f t="shared" si="21"/>
        <v>32.27227826086957</v>
      </c>
      <c r="N56" s="188">
        <f t="shared" si="22"/>
        <v>0.059701492537313605</v>
      </c>
      <c r="O56" s="153">
        <f t="shared" si="23"/>
        <v>32.22682434782609</v>
      </c>
      <c r="P56" s="154">
        <f t="shared" si="24"/>
        <v>32.22682434782609</v>
      </c>
      <c r="Q56" s="176">
        <f t="shared" si="25"/>
        <v>0</v>
      </c>
      <c r="R56" s="100">
        <f t="shared" si="26"/>
        <v>1.8181565217391409</v>
      </c>
      <c r="S56" s="184">
        <f t="shared" si="27"/>
        <v>0.029006526468455567</v>
      </c>
      <c r="U56" s="207" t="s">
        <v>97</v>
      </c>
      <c r="V56" s="4" t="s">
        <v>12</v>
      </c>
      <c r="X56" s="155">
        <v>126</v>
      </c>
      <c r="Y56" s="155">
        <v>134</v>
      </c>
      <c r="Z56" s="155">
        <v>142</v>
      </c>
      <c r="AA56" s="32">
        <v>131.8</v>
      </c>
      <c r="AB56" s="155"/>
      <c r="AC56" s="32">
        <v>141.8</v>
      </c>
      <c r="AD56" s="155"/>
      <c r="AE56" s="32">
        <v>141.8</v>
      </c>
      <c r="AF56" s="155"/>
      <c r="AG56" s="32">
        <f t="shared" si="28"/>
        <v>257.8</v>
      </c>
      <c r="AH56" s="32">
        <f t="shared" si="29"/>
        <v>275.8</v>
      </c>
      <c r="AI56" s="32">
        <f t="shared" si="30"/>
        <v>283.8</v>
      </c>
      <c r="AJ56" s="33"/>
      <c r="AK56" s="26">
        <v>230000</v>
      </c>
      <c r="AL56" s="33"/>
      <c r="AM56" s="26">
        <v>230000</v>
      </c>
      <c r="AN56" s="33"/>
      <c r="AO56" s="26">
        <v>230000</v>
      </c>
      <c r="AP56" s="67">
        <f t="shared" si="31"/>
        <v>230000</v>
      </c>
      <c r="AQ56" s="34">
        <f t="shared" si="32"/>
        <v>100</v>
      </c>
      <c r="AR56" s="67">
        <f t="shared" si="33"/>
        <v>230000</v>
      </c>
      <c r="AS56" s="34">
        <f t="shared" si="34"/>
        <v>100</v>
      </c>
      <c r="AT56" s="28">
        <f t="shared" si="35"/>
        <v>134</v>
      </c>
      <c r="AU56" s="28">
        <f t="shared" si="36"/>
        <v>141.8</v>
      </c>
      <c r="AV56" s="28">
        <f t="shared" si="37"/>
        <v>275.8</v>
      </c>
      <c r="AW56" s="24">
        <f t="shared" si="38"/>
        <v>8</v>
      </c>
      <c r="AX56" s="24">
        <f t="shared" si="39"/>
        <v>0</v>
      </c>
      <c r="AY56" s="24">
        <f t="shared" si="40"/>
        <v>8</v>
      </c>
      <c r="AZ56" s="156">
        <f t="shared" si="41"/>
        <v>52272</v>
      </c>
      <c r="BA56" s="35">
        <f t="shared" si="42"/>
        <v>0.2272695652173913</v>
      </c>
      <c r="BB56" s="35">
        <f t="shared" si="43"/>
        <v>32.27227826086957</v>
      </c>
      <c r="BC56" s="36">
        <f t="shared" si="44"/>
        <v>32.22682434782609</v>
      </c>
      <c r="BD56" s="36">
        <f t="shared" si="45"/>
        <v>64.49910260869567</v>
      </c>
      <c r="BE56" s="36" t="str">
        <f t="shared" si="46"/>
        <v>yes</v>
      </c>
      <c r="BF56" s="37">
        <f t="shared" si="47"/>
        <v>0.2272695652173913</v>
      </c>
      <c r="BG56" s="37">
        <f t="shared" si="48"/>
        <v>30.454121739130436</v>
      </c>
      <c r="BH56" s="36">
        <f t="shared" si="49"/>
        <v>32.22682434782609</v>
      </c>
      <c r="BI56" s="38">
        <f t="shared" si="50"/>
        <v>62.680946086956524</v>
      </c>
      <c r="BJ56" s="1" t="str">
        <f t="shared" si="51"/>
        <v>yes</v>
      </c>
      <c r="BK56" s="37">
        <f t="shared" si="52"/>
        <v>1.8181565217391338</v>
      </c>
      <c r="BL56" s="37">
        <f t="shared" si="53"/>
        <v>0</v>
      </c>
      <c r="BM56" s="7">
        <f t="shared" si="54"/>
        <v>1.8181565217391409</v>
      </c>
      <c r="BN56" s="7">
        <f t="shared" si="55"/>
        <v>0</v>
      </c>
    </row>
    <row r="57" spans="3:66" ht="15.75" customHeight="1">
      <c r="C57" s="29"/>
      <c r="D57" s="159" t="s">
        <v>184</v>
      </c>
      <c r="E57" s="158" t="s">
        <v>171</v>
      </c>
      <c r="F57" s="79">
        <f t="shared" si="14"/>
        <v>52272</v>
      </c>
      <c r="G57" s="80">
        <f t="shared" si="15"/>
        <v>40</v>
      </c>
      <c r="H57" s="149">
        <f t="shared" si="16"/>
        <v>4</v>
      </c>
      <c r="I57" s="150">
        <f t="shared" si="17"/>
        <v>0</v>
      </c>
      <c r="J57" s="83">
        <f t="shared" si="18"/>
        <v>62.680946086956524</v>
      </c>
      <c r="K57" s="84">
        <f t="shared" si="19"/>
        <v>64.49910260869567</v>
      </c>
      <c r="L57" s="151">
        <f t="shared" si="20"/>
        <v>30.454121739130436</v>
      </c>
      <c r="M57" s="152">
        <f t="shared" si="21"/>
        <v>32.27227826086957</v>
      </c>
      <c r="N57" s="188">
        <f t="shared" si="22"/>
        <v>0.059701492537313605</v>
      </c>
      <c r="O57" s="153">
        <f t="shared" si="23"/>
        <v>32.22682434782609</v>
      </c>
      <c r="P57" s="154">
        <f t="shared" si="24"/>
        <v>32.22682434782609</v>
      </c>
      <c r="Q57" s="176">
        <f t="shared" si="25"/>
        <v>0</v>
      </c>
      <c r="R57" s="100">
        <f t="shared" si="26"/>
        <v>1.8181565217391409</v>
      </c>
      <c r="S57" s="184">
        <f t="shared" si="27"/>
        <v>0.029006526468455567</v>
      </c>
      <c r="U57" s="207" t="s">
        <v>111</v>
      </c>
      <c r="V57" s="4" t="s">
        <v>12</v>
      </c>
      <c r="X57" s="155"/>
      <c r="Y57" s="155">
        <v>134</v>
      </c>
      <c r="Z57" s="155">
        <v>142</v>
      </c>
      <c r="AA57" s="32"/>
      <c r="AB57" s="155"/>
      <c r="AC57" s="155">
        <v>141.8</v>
      </c>
      <c r="AD57" s="155"/>
      <c r="AE57" s="155">
        <v>141.8</v>
      </c>
      <c r="AF57" s="155"/>
      <c r="AG57" s="32">
        <f t="shared" si="28"/>
        <v>0</v>
      </c>
      <c r="AH57" s="32">
        <f t="shared" si="29"/>
        <v>275.8</v>
      </c>
      <c r="AI57" s="32">
        <f t="shared" si="30"/>
        <v>283.8</v>
      </c>
      <c r="AJ57" s="33"/>
      <c r="AK57" s="26">
        <v>230000</v>
      </c>
      <c r="AL57" s="33"/>
      <c r="AM57" s="26">
        <v>230000</v>
      </c>
      <c r="AN57" s="33"/>
      <c r="AO57" s="26">
        <v>230000</v>
      </c>
      <c r="AP57" s="67">
        <f t="shared" si="31"/>
        <v>230000</v>
      </c>
      <c r="AQ57" s="34">
        <f t="shared" si="32"/>
        <v>100</v>
      </c>
      <c r="AR57" s="67">
        <f t="shared" si="33"/>
        <v>230000</v>
      </c>
      <c r="AS57" s="34">
        <f t="shared" si="34"/>
        <v>100</v>
      </c>
      <c r="AT57" s="28">
        <f t="shared" si="35"/>
        <v>134</v>
      </c>
      <c r="AU57" s="28">
        <f t="shared" si="36"/>
        <v>141.8</v>
      </c>
      <c r="AV57" s="28">
        <f t="shared" si="37"/>
        <v>275.8</v>
      </c>
      <c r="AW57" s="24">
        <f t="shared" si="38"/>
        <v>8</v>
      </c>
      <c r="AX57" s="24">
        <f t="shared" si="39"/>
        <v>0</v>
      </c>
      <c r="AY57" s="24">
        <f t="shared" si="40"/>
        <v>8</v>
      </c>
      <c r="AZ57" s="156">
        <f t="shared" si="41"/>
        <v>52272</v>
      </c>
      <c r="BA57" s="35">
        <f t="shared" si="42"/>
        <v>0.2272695652173913</v>
      </c>
      <c r="BB57" s="35">
        <f t="shared" si="43"/>
        <v>32.27227826086957</v>
      </c>
      <c r="BC57" s="36">
        <f t="shared" si="44"/>
        <v>32.22682434782609</v>
      </c>
      <c r="BD57" s="36">
        <f t="shared" si="45"/>
        <v>64.49910260869567</v>
      </c>
      <c r="BE57" s="36" t="str">
        <f t="shared" si="46"/>
        <v>yes</v>
      </c>
      <c r="BF57" s="37">
        <f t="shared" si="47"/>
        <v>0.2272695652173913</v>
      </c>
      <c r="BG57" s="37">
        <f t="shared" si="48"/>
        <v>30.454121739130436</v>
      </c>
      <c r="BH57" s="36">
        <f t="shared" si="49"/>
        <v>32.22682434782609</v>
      </c>
      <c r="BI57" s="38">
        <f t="shared" si="50"/>
        <v>62.680946086956524</v>
      </c>
      <c r="BJ57" s="1" t="str">
        <f t="shared" si="51"/>
        <v>yes</v>
      </c>
      <c r="BK57" s="37">
        <f t="shared" si="52"/>
        <v>1.8181565217391338</v>
      </c>
      <c r="BL57" s="37">
        <f t="shared" si="53"/>
        <v>0</v>
      </c>
      <c r="BM57" s="7">
        <f t="shared" si="54"/>
        <v>1.8181565217391409</v>
      </c>
      <c r="BN57" s="7">
        <f t="shared" si="55"/>
        <v>0</v>
      </c>
    </row>
    <row r="58" spans="3:65" s="4" customFormat="1" ht="13.5" customHeight="1">
      <c r="C58" s="41"/>
      <c r="D58" s="41"/>
      <c r="E58" s="41"/>
      <c r="F58" s="75"/>
      <c r="G58" s="41"/>
      <c r="H58" s="41"/>
      <c r="I58" s="42"/>
      <c r="J58" s="13"/>
      <c r="K58" s="13"/>
      <c r="L58" s="44"/>
      <c r="M58" s="44"/>
      <c r="N58" s="179"/>
      <c r="O58" s="45"/>
      <c r="P58" s="46"/>
      <c r="Q58" s="179"/>
      <c r="R58" s="43"/>
      <c r="S58" s="179"/>
      <c r="T58" s="3"/>
      <c r="U58" s="41"/>
      <c r="W58" s="3"/>
      <c r="X58" s="40"/>
      <c r="Y58" s="40"/>
      <c r="Z58" s="40"/>
      <c r="AA58" s="40"/>
      <c r="AB58" s="40"/>
      <c r="AC58" s="40"/>
      <c r="AD58" s="40"/>
      <c r="AE58" s="40"/>
      <c r="AF58" s="40"/>
      <c r="AG58" s="47"/>
      <c r="AH58" s="47"/>
      <c r="AI58" s="47"/>
      <c r="AJ58" s="12"/>
      <c r="AK58" s="12"/>
      <c r="AL58" s="12"/>
      <c r="AM58" s="12"/>
      <c r="AN58" s="12"/>
      <c r="AO58" s="12"/>
      <c r="AP58" s="65"/>
      <c r="AQ58" s="12"/>
      <c r="AR58" s="65"/>
      <c r="AS58" s="12"/>
      <c r="AT58" s="13"/>
      <c r="AU58" s="13"/>
      <c r="AV58" s="13"/>
      <c r="AW58" s="13"/>
      <c r="AX58" s="13"/>
      <c r="AY58" s="3"/>
      <c r="AZ58" s="3"/>
      <c r="BA58" s="12"/>
      <c r="BB58" s="12"/>
      <c r="BC58" s="12"/>
      <c r="BD58" s="12"/>
      <c r="BE58" s="12"/>
      <c r="BH58" s="12"/>
      <c r="BM58" s="14"/>
    </row>
    <row r="59" spans="4:65" s="4" customFormat="1" ht="13.5" customHeight="1">
      <c r="D59" s="4" t="s">
        <v>9</v>
      </c>
      <c r="F59" s="76"/>
      <c r="G59" s="48"/>
      <c r="H59" s="49"/>
      <c r="I59" s="42"/>
      <c r="J59" s="13"/>
      <c r="K59" s="13"/>
      <c r="L59" s="44"/>
      <c r="M59" s="44"/>
      <c r="N59" s="179"/>
      <c r="O59" s="45"/>
      <c r="P59" s="46"/>
      <c r="Q59" s="178"/>
      <c r="R59" s="43"/>
      <c r="S59" s="179"/>
      <c r="T59" s="3"/>
      <c r="W59" s="3"/>
      <c r="X59" s="12"/>
      <c r="Y59" s="12"/>
      <c r="Z59" s="12"/>
      <c r="AA59" s="12"/>
      <c r="AB59" s="12"/>
      <c r="AC59" s="12"/>
      <c r="AD59" s="12"/>
      <c r="AE59" s="12"/>
      <c r="AF59" s="12"/>
      <c r="AG59" s="13"/>
      <c r="AH59" s="13"/>
      <c r="AI59" s="13"/>
      <c r="AJ59" s="12"/>
      <c r="AK59" s="12"/>
      <c r="AL59" s="12"/>
      <c r="AM59" s="12"/>
      <c r="AN59" s="12"/>
      <c r="AO59" s="12"/>
      <c r="AP59" s="65"/>
      <c r="AQ59" s="12"/>
      <c r="AR59" s="65"/>
      <c r="AS59" s="12"/>
      <c r="AT59" s="13"/>
      <c r="AU59" s="13"/>
      <c r="AV59" s="13"/>
      <c r="AW59" s="13"/>
      <c r="AX59" s="13"/>
      <c r="AY59" s="3"/>
      <c r="AZ59" s="3"/>
      <c r="BA59" s="12"/>
      <c r="BB59" s="12"/>
      <c r="BC59" s="12"/>
      <c r="BD59" s="12"/>
      <c r="BE59" s="12"/>
      <c r="BH59" s="12"/>
      <c r="BM59" s="14"/>
    </row>
    <row r="60" spans="4:65" s="4" customFormat="1" ht="13.5" customHeight="1">
      <c r="D60" s="4" t="s">
        <v>168</v>
      </c>
      <c r="F60" s="76"/>
      <c r="G60" s="48"/>
      <c r="H60" s="49"/>
      <c r="I60" s="42"/>
      <c r="J60" s="13"/>
      <c r="K60" s="13"/>
      <c r="L60" s="44"/>
      <c r="M60" s="44"/>
      <c r="N60" s="179"/>
      <c r="O60" s="45"/>
      <c r="P60" s="46"/>
      <c r="Q60" s="179"/>
      <c r="R60" s="43"/>
      <c r="S60" s="179"/>
      <c r="T60" s="3"/>
      <c r="W60" s="3"/>
      <c r="X60" s="12"/>
      <c r="Y60" s="12"/>
      <c r="Z60" s="12"/>
      <c r="AA60" s="12"/>
      <c r="AB60" s="12"/>
      <c r="AC60" s="12"/>
      <c r="AD60" s="12"/>
      <c r="AE60" s="12"/>
      <c r="AF60" s="12"/>
      <c r="AG60" s="13"/>
      <c r="AH60" s="13"/>
      <c r="AI60" s="13"/>
      <c r="AJ60" s="12"/>
      <c r="AK60" s="12"/>
      <c r="AL60" s="12"/>
      <c r="AM60" s="12"/>
      <c r="AN60" s="12"/>
      <c r="AO60" s="12"/>
      <c r="AP60" s="65"/>
      <c r="AQ60" s="12"/>
      <c r="AR60" s="65"/>
      <c r="AS60" s="12"/>
      <c r="AT60" s="13"/>
      <c r="AU60" s="13"/>
      <c r="AV60" s="13"/>
      <c r="AW60" s="13"/>
      <c r="AX60" s="13"/>
      <c r="AY60" s="3"/>
      <c r="AZ60" s="3"/>
      <c r="BA60" s="12"/>
      <c r="BB60" s="12"/>
      <c r="BC60" s="12"/>
      <c r="BD60" s="12"/>
      <c r="BE60" s="12"/>
      <c r="BH60" s="12"/>
      <c r="BM60" s="14"/>
    </row>
    <row r="61" spans="4:65" s="4" customFormat="1" ht="13.5" customHeight="1">
      <c r="D61" s="4" t="s">
        <v>91</v>
      </c>
      <c r="F61" s="76"/>
      <c r="G61" s="48"/>
      <c r="H61" s="49"/>
      <c r="I61" s="42"/>
      <c r="J61" s="13"/>
      <c r="K61" s="13"/>
      <c r="L61" s="44"/>
      <c r="M61" s="44"/>
      <c r="N61" s="179"/>
      <c r="O61" s="45"/>
      <c r="P61" s="46"/>
      <c r="Q61" s="179"/>
      <c r="R61" s="43"/>
      <c r="S61" s="179"/>
      <c r="T61" s="3"/>
      <c r="W61" s="3"/>
      <c r="X61" s="12"/>
      <c r="Y61" s="12"/>
      <c r="Z61" s="12"/>
      <c r="AA61" s="12"/>
      <c r="AB61" s="12"/>
      <c r="AC61" s="12"/>
      <c r="AD61" s="12"/>
      <c r="AE61" s="12"/>
      <c r="AF61" s="12"/>
      <c r="AG61" s="13"/>
      <c r="AH61" s="13"/>
      <c r="AI61" s="13"/>
      <c r="AJ61" s="12"/>
      <c r="AK61" s="12"/>
      <c r="AL61" s="12"/>
      <c r="AM61" s="12"/>
      <c r="AN61" s="12"/>
      <c r="AO61" s="12"/>
      <c r="AP61" s="65"/>
      <c r="AQ61" s="12"/>
      <c r="AR61" s="65"/>
      <c r="AS61" s="12"/>
      <c r="AT61" s="13"/>
      <c r="AU61" s="13"/>
      <c r="AV61" s="13"/>
      <c r="AW61" s="13"/>
      <c r="AX61" s="13"/>
      <c r="AY61" s="3"/>
      <c r="AZ61" s="3"/>
      <c r="BA61" s="12"/>
      <c r="BB61" s="12"/>
      <c r="BC61" s="12"/>
      <c r="BD61" s="12"/>
      <c r="BE61" s="12"/>
      <c r="BH61" s="12"/>
      <c r="BM61" s="14"/>
    </row>
    <row r="62" spans="4:65" s="4" customFormat="1" ht="13.5" customHeight="1">
      <c r="D62" s="4" t="s">
        <v>113</v>
      </c>
      <c r="F62" s="76"/>
      <c r="G62" s="48"/>
      <c r="H62" s="49"/>
      <c r="I62" s="42"/>
      <c r="J62" s="13"/>
      <c r="K62" s="13"/>
      <c r="L62" s="44"/>
      <c r="M62" s="44"/>
      <c r="N62" s="179"/>
      <c r="O62" s="45"/>
      <c r="P62" s="46"/>
      <c r="Q62" s="179"/>
      <c r="R62" s="43"/>
      <c r="S62" s="179"/>
      <c r="T62" s="3"/>
      <c r="W62" s="3"/>
      <c r="X62" s="12"/>
      <c r="Y62" s="12"/>
      <c r="Z62" s="12"/>
      <c r="AA62" s="12"/>
      <c r="AB62" s="12"/>
      <c r="AC62" s="12"/>
      <c r="AD62" s="12"/>
      <c r="AE62" s="12"/>
      <c r="AF62" s="12"/>
      <c r="AG62" s="13"/>
      <c r="AH62" s="13"/>
      <c r="AI62" s="13"/>
      <c r="AJ62" s="12"/>
      <c r="AK62" s="12"/>
      <c r="AL62" s="12"/>
      <c r="AM62" s="12"/>
      <c r="AN62" s="12"/>
      <c r="AO62" s="12"/>
      <c r="AP62" s="65"/>
      <c r="AQ62" s="12"/>
      <c r="AR62" s="65"/>
      <c r="AS62" s="12"/>
      <c r="AT62" s="13"/>
      <c r="AU62" s="13"/>
      <c r="AV62" s="13"/>
      <c r="AW62" s="13"/>
      <c r="AX62" s="13"/>
      <c r="AY62" s="3"/>
      <c r="AZ62" s="3"/>
      <c r="BA62" s="12"/>
      <c r="BB62" s="12"/>
      <c r="BC62" s="12"/>
      <c r="BD62" s="12"/>
      <c r="BE62" s="12"/>
      <c r="BH62" s="12"/>
      <c r="BM62" s="14"/>
    </row>
    <row r="63" spans="4:65" s="4" customFormat="1" ht="13.5" customHeight="1">
      <c r="D63" s="222" t="s">
        <v>202</v>
      </c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3"/>
      <c r="W63" s="3"/>
      <c r="X63" s="12"/>
      <c r="Y63" s="12"/>
      <c r="Z63" s="12"/>
      <c r="AA63" s="12"/>
      <c r="AB63" s="12"/>
      <c r="AC63" s="12"/>
      <c r="AD63" s="12"/>
      <c r="AE63" s="12"/>
      <c r="AF63" s="12"/>
      <c r="AG63" s="13"/>
      <c r="AH63" s="13"/>
      <c r="AI63" s="13"/>
      <c r="AJ63" s="12"/>
      <c r="AK63" s="12"/>
      <c r="AL63" s="12"/>
      <c r="AM63" s="12"/>
      <c r="AN63" s="12"/>
      <c r="AO63" s="12"/>
      <c r="AP63" s="65"/>
      <c r="AQ63" s="12"/>
      <c r="AR63" s="65"/>
      <c r="AS63" s="12"/>
      <c r="AT63" s="13"/>
      <c r="AU63" s="13"/>
      <c r="AV63" s="13"/>
      <c r="AW63" s="13"/>
      <c r="AX63" s="13"/>
      <c r="AY63" s="3"/>
      <c r="AZ63" s="3"/>
      <c r="BA63" s="12"/>
      <c r="BB63" s="12"/>
      <c r="BC63" s="12"/>
      <c r="BD63" s="12"/>
      <c r="BE63" s="12"/>
      <c r="BH63" s="12"/>
      <c r="BM63" s="14"/>
    </row>
    <row r="64" spans="4:65" s="4" customFormat="1" ht="13.5" customHeight="1"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3"/>
      <c r="W64" s="3"/>
      <c r="X64" s="12"/>
      <c r="Y64" s="12"/>
      <c r="Z64" s="12"/>
      <c r="AA64" s="12"/>
      <c r="AB64" s="12"/>
      <c r="AC64" s="12"/>
      <c r="AD64" s="12"/>
      <c r="AE64" s="12"/>
      <c r="AF64" s="12"/>
      <c r="AG64" s="13"/>
      <c r="AH64" s="13"/>
      <c r="AI64" s="13"/>
      <c r="AJ64" s="12"/>
      <c r="AK64" s="12"/>
      <c r="AL64" s="12"/>
      <c r="AM64" s="12"/>
      <c r="AN64" s="12"/>
      <c r="AO64" s="12"/>
      <c r="AP64" s="65"/>
      <c r="AQ64" s="12"/>
      <c r="AR64" s="65"/>
      <c r="AS64" s="12"/>
      <c r="AT64" s="13"/>
      <c r="AU64" s="13"/>
      <c r="AV64" s="13"/>
      <c r="AW64" s="13"/>
      <c r="AX64" s="13"/>
      <c r="AY64" s="3"/>
      <c r="AZ64" s="3"/>
      <c r="BA64" s="12"/>
      <c r="BB64" s="12"/>
      <c r="BC64" s="12"/>
      <c r="BD64" s="12"/>
      <c r="BE64" s="12"/>
      <c r="BH64" s="12"/>
      <c r="BM64" s="14"/>
    </row>
    <row r="65" spans="6:19" ht="13.5" customHeight="1">
      <c r="F65" s="77"/>
      <c r="H65" s="197"/>
      <c r="N65" s="180"/>
      <c r="Q65" s="180"/>
      <c r="S65" s="180"/>
    </row>
    <row r="66" spans="6:19" ht="13.5" customHeight="1">
      <c r="F66" s="77"/>
      <c r="H66" s="197"/>
      <c r="N66" s="180"/>
      <c r="Q66" s="180"/>
      <c r="S66" s="180"/>
    </row>
    <row r="67" spans="6:19" ht="13.5" customHeight="1">
      <c r="F67" s="77"/>
      <c r="H67" s="197"/>
      <c r="N67" s="180"/>
      <c r="Q67" s="180"/>
      <c r="S67" s="180"/>
    </row>
    <row r="68" spans="6:19" ht="13.5" customHeight="1">
      <c r="F68" s="77"/>
      <c r="H68" s="197"/>
      <c r="N68" s="180"/>
      <c r="Q68" s="180"/>
      <c r="S68" s="180"/>
    </row>
    <row r="69" spans="6:19" ht="13.5" customHeight="1">
      <c r="F69" s="77"/>
      <c r="H69" s="197"/>
      <c r="N69" s="180"/>
      <c r="Q69" s="180"/>
      <c r="S69" s="180"/>
    </row>
    <row r="70" spans="6:19" ht="13.5" customHeight="1">
      <c r="F70" s="77"/>
      <c r="H70" s="197"/>
      <c r="N70" s="180"/>
      <c r="Q70" s="180"/>
      <c r="S70" s="180"/>
    </row>
    <row r="71" spans="6:19" ht="13.5" customHeight="1">
      <c r="F71" s="77"/>
      <c r="H71" s="197"/>
      <c r="N71" s="180"/>
      <c r="Q71" s="180"/>
      <c r="S71" s="180"/>
    </row>
    <row r="72" spans="6:19" ht="13.5" customHeight="1">
      <c r="F72" s="77"/>
      <c r="H72" s="197"/>
      <c r="N72" s="180"/>
      <c r="Q72" s="180"/>
      <c r="S72" s="180"/>
    </row>
    <row r="73" spans="6:19" ht="13.5" customHeight="1">
      <c r="F73" s="77"/>
      <c r="H73" s="197"/>
      <c r="N73" s="180"/>
      <c r="Q73" s="180"/>
      <c r="S73" s="180"/>
    </row>
    <row r="74" spans="6:19" ht="13.5" customHeight="1">
      <c r="F74" s="77"/>
      <c r="H74" s="197"/>
      <c r="N74" s="180"/>
      <c r="Q74" s="180"/>
      <c r="S74" s="180"/>
    </row>
    <row r="75" spans="6:19" ht="13.5" customHeight="1">
      <c r="F75" s="77"/>
      <c r="H75" s="197"/>
      <c r="N75" s="180"/>
      <c r="Q75" s="180"/>
      <c r="S75" s="180"/>
    </row>
    <row r="76" spans="6:19" ht="13.5" customHeight="1">
      <c r="F76" s="77"/>
      <c r="H76" s="197"/>
      <c r="N76" s="180"/>
      <c r="Q76" s="180"/>
      <c r="S76" s="180"/>
    </row>
    <row r="77" spans="6:19" ht="13.5" customHeight="1">
      <c r="F77" s="77"/>
      <c r="H77" s="197"/>
      <c r="N77" s="180"/>
      <c r="Q77" s="180"/>
      <c r="S77" s="180"/>
    </row>
    <row r="78" spans="6:19" ht="13.5" customHeight="1">
      <c r="F78" s="77"/>
      <c r="H78" s="197"/>
      <c r="N78" s="180"/>
      <c r="Q78" s="180"/>
      <c r="S78" s="180"/>
    </row>
    <row r="79" spans="6:19" ht="13.5" customHeight="1">
      <c r="F79" s="77"/>
      <c r="H79" s="197"/>
      <c r="N79" s="180"/>
      <c r="Q79" s="180"/>
      <c r="S79" s="180"/>
    </row>
    <row r="80" spans="6:19" ht="13.5" customHeight="1">
      <c r="F80" s="77"/>
      <c r="H80" s="197"/>
      <c r="N80" s="180"/>
      <c r="Q80" s="180"/>
      <c r="S80" s="180"/>
    </row>
    <row r="81" spans="6:19" ht="13.5" customHeight="1">
      <c r="F81" s="77"/>
      <c r="H81" s="197"/>
      <c r="N81" s="180"/>
      <c r="Q81" s="180"/>
      <c r="S81" s="180"/>
    </row>
    <row r="82" spans="6:19" ht="13.5" customHeight="1">
      <c r="F82" s="77"/>
      <c r="H82" s="197"/>
      <c r="N82" s="180"/>
      <c r="Q82" s="180"/>
      <c r="S82" s="180"/>
    </row>
    <row r="83" spans="6:19" ht="13.5" customHeight="1">
      <c r="F83" s="77"/>
      <c r="H83" s="197"/>
      <c r="N83" s="180"/>
      <c r="Q83" s="180"/>
      <c r="S83" s="180"/>
    </row>
    <row r="84" spans="6:19" ht="13.5" customHeight="1">
      <c r="F84" s="77"/>
      <c r="H84" s="197"/>
      <c r="N84" s="180"/>
      <c r="Q84" s="180"/>
      <c r="S84" s="180"/>
    </row>
    <row r="85" spans="6:19" ht="13.5" customHeight="1">
      <c r="F85" s="77"/>
      <c r="H85" s="197"/>
      <c r="N85" s="180"/>
      <c r="Q85" s="180"/>
      <c r="S85" s="180"/>
    </row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</sheetData>
  <sheetProtection password="ECC8" sheet="1" objects="1" scenarios="1"/>
  <mergeCells count="25">
    <mergeCell ref="D14:E17"/>
    <mergeCell ref="R16:S16"/>
    <mergeCell ref="O13:Q13"/>
    <mergeCell ref="O14:Q14"/>
    <mergeCell ref="J16:K16"/>
    <mergeCell ref="L16:N16"/>
    <mergeCell ref="O16:Q16"/>
    <mergeCell ref="D12:F12"/>
    <mergeCell ref="D2:S2"/>
    <mergeCell ref="D6:S6"/>
    <mergeCell ref="D7:S7"/>
    <mergeCell ref="O9:S9"/>
    <mergeCell ref="O10:Q10"/>
    <mergeCell ref="D11:F11"/>
    <mergeCell ref="J11:J12"/>
    <mergeCell ref="L11:L12"/>
    <mergeCell ref="M11:M12"/>
    <mergeCell ref="O11:Q11"/>
    <mergeCell ref="K11:K12"/>
    <mergeCell ref="AT37:AV37"/>
    <mergeCell ref="AW37:AY37"/>
    <mergeCell ref="J37:K37"/>
    <mergeCell ref="L37:N37"/>
    <mergeCell ref="O37:Q37"/>
    <mergeCell ref="R37:S37"/>
  </mergeCells>
  <dataValidations count="2">
    <dataValidation type="list" allowBlank="1" showInputMessage="1" showErrorMessage="1" sqref="E19 E21:E27">
      <formula1>'    RR-FLEX    '!$E$40:$E$168</formula1>
    </dataValidation>
    <dataValidation type="list" allowBlank="1" showInputMessage="1" showErrorMessage="1" prompt="=$E$37:$E$176" sqref="E20">
      <formula1>'    RR-FLEX    '!$E$40:$E$168</formula1>
    </dataValidation>
  </dataValidations>
  <hyperlinks>
    <hyperlink ref="O13" r:id="rId1" display="www.plainscotton.org"/>
    <hyperlink ref="L4" r:id="rId2" display="http://www.plainscotton.org"/>
  </hyperlinks>
  <printOptions/>
  <pageMargins left="0.75" right="0.75" top="1" bottom="1" header="0.5" footer="0.5"/>
  <pageSetup fitToHeight="1" fitToWidth="1" orientation="landscape" scale="68"/>
  <ignoredErrors>
    <ignoredError sqref="K17" 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26"/>
  <sheetViews>
    <sheetView zoomScalePageLayoutView="0" workbookViewId="0" topLeftCell="A1">
      <selection activeCell="A3" sqref="A3:IV4"/>
    </sheetView>
  </sheetViews>
  <sheetFormatPr defaultColWidth="11.625" defaultRowHeight="12.75"/>
  <cols>
    <col min="1" max="1" width="1.75390625" style="1" customWidth="1"/>
    <col min="2" max="3" width="11.625" style="4" hidden="1" customWidth="1"/>
    <col min="4" max="4" width="12.75390625" style="1" customWidth="1"/>
    <col min="5" max="5" width="20.375" style="1" customWidth="1"/>
    <col min="6" max="6" width="12.625" style="73" customWidth="1"/>
    <col min="7" max="7" width="11.625" style="15" hidden="1" customWidth="1"/>
    <col min="8" max="8" width="11.625" style="16" hidden="1" customWidth="1"/>
    <col min="9" max="9" width="11.625" style="17" hidden="1" customWidth="1"/>
    <col min="10" max="10" width="11.00390625" style="6" customWidth="1"/>
    <col min="11" max="11" width="10.875" style="6" customWidth="1"/>
    <col min="12" max="12" width="10.375" style="19" customWidth="1"/>
    <col min="13" max="13" width="9.875" style="19" customWidth="1"/>
    <col min="14" max="14" width="9.875" style="172" customWidth="1"/>
    <col min="15" max="15" width="9.75390625" style="20" customWidth="1"/>
    <col min="16" max="16" width="9.75390625" style="21" customWidth="1"/>
    <col min="17" max="17" width="9.75390625" style="172" customWidth="1"/>
    <col min="18" max="18" width="9.75390625" style="18" customWidth="1"/>
    <col min="19" max="19" width="9.75390625" style="172" customWidth="1"/>
    <col min="20" max="20" width="4.375" style="3" customWidth="1"/>
    <col min="21" max="22" width="11.625" style="4" hidden="1" customWidth="1"/>
    <col min="23" max="23" width="2.25390625" style="3" hidden="1" customWidth="1"/>
    <col min="24" max="27" width="11.625" style="5" hidden="1" customWidth="1"/>
    <col min="28" max="28" width="15.375" style="5" hidden="1" customWidth="1"/>
    <col min="29" max="29" width="11.625" style="5" hidden="1" customWidth="1"/>
    <col min="30" max="30" width="15.375" style="5" hidden="1" customWidth="1"/>
    <col min="31" max="31" width="11.625" style="5" hidden="1" customWidth="1"/>
    <col min="32" max="32" width="15.375" style="5" hidden="1" customWidth="1"/>
    <col min="33" max="35" width="11.625" style="6" hidden="1" customWidth="1"/>
    <col min="36" max="41" width="10.00390625" style="5" hidden="1" customWidth="1"/>
    <col min="42" max="42" width="11.625" style="50" hidden="1" customWidth="1"/>
    <col min="43" max="43" width="11.625" style="5" hidden="1" customWidth="1"/>
    <col min="44" max="44" width="11.625" style="50" hidden="1" customWidth="1"/>
    <col min="45" max="45" width="11.625" style="5" hidden="1" customWidth="1"/>
    <col min="46" max="52" width="11.625" style="6" hidden="1" customWidth="1"/>
    <col min="53" max="57" width="11.625" style="5" hidden="1" customWidth="1"/>
    <col min="58" max="59" width="11.625" style="1" hidden="1" customWidth="1"/>
    <col min="60" max="60" width="11.625" style="5" hidden="1" customWidth="1"/>
    <col min="61" max="64" width="11.625" style="1" hidden="1" customWidth="1"/>
    <col min="65" max="65" width="11.625" style="7" hidden="1" customWidth="1"/>
    <col min="66" max="66" width="11.625" style="1" hidden="1" customWidth="1"/>
    <col min="67" max="16384" width="11.625" style="1" customWidth="1"/>
  </cols>
  <sheetData>
    <row r="1" spans="1:22" ht="10.5" customHeight="1">
      <c r="A1" s="209"/>
      <c r="B1" s="1"/>
      <c r="C1" s="1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1"/>
      <c r="U1" s="1"/>
      <c r="V1" s="1"/>
    </row>
    <row r="2" spans="2:22" ht="30.75" customHeight="1">
      <c r="B2" s="1"/>
      <c r="C2" s="1"/>
      <c r="D2" s="258" t="s">
        <v>144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1"/>
      <c r="U2" s="1"/>
      <c r="V2" s="1"/>
    </row>
    <row r="3" spans="2:22" ht="18" customHeight="1">
      <c r="B3" s="1"/>
      <c r="C3" s="1"/>
      <c r="D3" s="226"/>
      <c r="E3" s="226"/>
      <c r="F3" s="226"/>
      <c r="G3" s="226"/>
      <c r="H3" s="226"/>
      <c r="I3" s="226"/>
      <c r="J3" s="226"/>
      <c r="K3" s="226"/>
      <c r="L3" s="228" t="s">
        <v>244</v>
      </c>
      <c r="M3" s="226"/>
      <c r="N3" s="226"/>
      <c r="O3" s="226"/>
      <c r="P3" s="226"/>
      <c r="Q3" s="226"/>
      <c r="R3" s="226"/>
      <c r="S3" s="226"/>
      <c r="T3" s="1"/>
      <c r="U3" s="1"/>
      <c r="V3" s="1"/>
    </row>
    <row r="4" spans="2:22" ht="18" customHeight="1">
      <c r="B4" s="22"/>
      <c r="C4" s="22"/>
      <c r="D4" s="2"/>
      <c r="E4" s="2"/>
      <c r="F4" s="69"/>
      <c r="G4" s="2"/>
      <c r="H4" s="2"/>
      <c r="I4" s="8"/>
      <c r="J4" s="9"/>
      <c r="K4" s="10"/>
      <c r="L4" s="227" t="s">
        <v>243</v>
      </c>
      <c r="M4" s="1"/>
      <c r="N4" s="171"/>
      <c r="O4" s="1"/>
      <c r="P4" s="1"/>
      <c r="Q4" s="171"/>
      <c r="R4" s="9"/>
      <c r="S4" s="181"/>
      <c r="T4" s="22"/>
      <c r="U4" s="22"/>
      <c r="V4" s="22"/>
    </row>
    <row r="5" spans="2:22" ht="9" customHeight="1" thickBot="1">
      <c r="B5" s="22"/>
      <c r="C5" s="22"/>
      <c r="D5" s="2"/>
      <c r="E5" s="2"/>
      <c r="F5" s="69"/>
      <c r="G5" s="2"/>
      <c r="H5" s="2"/>
      <c r="I5" s="8"/>
      <c r="J5" s="9"/>
      <c r="K5" s="10"/>
      <c r="L5" s="224"/>
      <c r="M5" s="1"/>
      <c r="N5" s="171"/>
      <c r="O5" s="1"/>
      <c r="P5" s="1"/>
      <c r="Q5" s="171"/>
      <c r="R5" s="9"/>
      <c r="S5" s="181"/>
      <c r="T5" s="22"/>
      <c r="U5" s="22"/>
      <c r="V5" s="22"/>
    </row>
    <row r="6" spans="4:65" s="4" customFormat="1" ht="21" customHeight="1" thickTop="1">
      <c r="D6" s="262" t="s">
        <v>166</v>
      </c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4"/>
      <c r="W6" s="11"/>
      <c r="X6" s="12"/>
      <c r="Y6" s="12"/>
      <c r="Z6" s="12"/>
      <c r="AA6" s="12"/>
      <c r="AB6" s="12"/>
      <c r="AC6" s="12"/>
      <c r="AD6" s="12"/>
      <c r="AE6" s="12"/>
      <c r="AF6" s="12"/>
      <c r="AG6" s="13"/>
      <c r="AH6" s="13"/>
      <c r="AI6" s="13"/>
      <c r="AJ6" s="12"/>
      <c r="AK6" s="12"/>
      <c r="AL6" s="12"/>
      <c r="AM6" s="12"/>
      <c r="AN6" s="12"/>
      <c r="AO6" s="12"/>
      <c r="AP6" s="65"/>
      <c r="AQ6" s="12"/>
      <c r="AR6" s="65"/>
      <c r="AS6" s="12"/>
      <c r="AT6" s="13"/>
      <c r="AU6" s="13"/>
      <c r="AV6" s="13"/>
      <c r="AW6" s="13"/>
      <c r="AX6" s="13"/>
      <c r="AY6" s="13"/>
      <c r="AZ6" s="13"/>
      <c r="BA6" s="12"/>
      <c r="BB6" s="12"/>
      <c r="BC6" s="12"/>
      <c r="BD6" s="12"/>
      <c r="BE6" s="12"/>
      <c r="BH6" s="12"/>
      <c r="BM6" s="14"/>
    </row>
    <row r="7" spans="4:65" s="4" customFormat="1" ht="21" customHeight="1" thickBot="1">
      <c r="D7" s="265" t="s">
        <v>58</v>
      </c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7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3"/>
      <c r="AH7" s="13"/>
      <c r="AI7" s="13"/>
      <c r="AJ7" s="12"/>
      <c r="AK7" s="12"/>
      <c r="AL7" s="12"/>
      <c r="AM7" s="12"/>
      <c r="AN7" s="12"/>
      <c r="AO7" s="12"/>
      <c r="AP7" s="65"/>
      <c r="AQ7" s="12"/>
      <c r="AR7" s="65"/>
      <c r="AS7" s="12"/>
      <c r="AT7" s="13"/>
      <c r="AU7" s="13"/>
      <c r="AV7" s="13"/>
      <c r="AW7" s="13"/>
      <c r="AX7" s="13"/>
      <c r="AY7" s="13"/>
      <c r="AZ7" s="13"/>
      <c r="BA7" s="12"/>
      <c r="BB7" s="12"/>
      <c r="BC7" s="12"/>
      <c r="BD7" s="12"/>
      <c r="BE7" s="12"/>
      <c r="BH7" s="12"/>
      <c r="BM7" s="14"/>
    </row>
    <row r="8" spans="1:65" s="4" customFormat="1" ht="9" customHeight="1" thickBot="1">
      <c r="A8" s="1"/>
      <c r="B8" s="22"/>
      <c r="C8" s="22"/>
      <c r="D8" s="50"/>
      <c r="E8" s="51"/>
      <c r="F8" s="70"/>
      <c r="G8" s="36"/>
      <c r="H8" s="36"/>
      <c r="I8" s="21"/>
      <c r="J8" s="19"/>
      <c r="K8" s="20"/>
      <c r="L8" s="3"/>
      <c r="M8" s="1"/>
      <c r="N8" s="171"/>
      <c r="O8" s="1"/>
      <c r="P8" s="1"/>
      <c r="Q8" s="171"/>
      <c r="R8" s="19"/>
      <c r="S8" s="181"/>
      <c r="T8" s="22"/>
      <c r="U8" s="22"/>
      <c r="V8" s="22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3"/>
      <c r="AH8" s="13"/>
      <c r="AI8" s="13"/>
      <c r="AJ8" s="12"/>
      <c r="AK8" s="12"/>
      <c r="AL8" s="12"/>
      <c r="AM8" s="12"/>
      <c r="AN8" s="12"/>
      <c r="AO8" s="12"/>
      <c r="AP8" s="65"/>
      <c r="AQ8" s="12"/>
      <c r="AR8" s="65"/>
      <c r="AS8" s="12"/>
      <c r="AT8" s="13"/>
      <c r="AU8" s="13"/>
      <c r="AV8" s="13"/>
      <c r="AW8" s="13"/>
      <c r="AX8" s="13"/>
      <c r="AY8" s="13"/>
      <c r="AZ8" s="13"/>
      <c r="BA8" s="12"/>
      <c r="BB8" s="12"/>
      <c r="BC8" s="12"/>
      <c r="BD8" s="12"/>
      <c r="BE8" s="12"/>
      <c r="BH8" s="12"/>
      <c r="BM8" s="14"/>
    </row>
    <row r="9" spans="1:65" s="4" customFormat="1" ht="16.5" thickBot="1">
      <c r="A9" s="1"/>
      <c r="B9" s="22"/>
      <c r="C9" s="22"/>
      <c r="D9" s="22"/>
      <c r="E9" s="22"/>
      <c r="F9" s="71"/>
      <c r="G9" s="22"/>
      <c r="H9" s="196"/>
      <c r="I9" s="22"/>
      <c r="J9" s="22"/>
      <c r="K9" s="22"/>
      <c r="L9" s="3"/>
      <c r="M9" s="1"/>
      <c r="N9" s="171"/>
      <c r="O9" s="259" t="s">
        <v>124</v>
      </c>
      <c r="P9" s="260"/>
      <c r="Q9" s="260"/>
      <c r="R9" s="260"/>
      <c r="S9" s="261"/>
      <c r="T9" s="22"/>
      <c r="U9" s="22"/>
      <c r="V9" s="22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3"/>
      <c r="AH9" s="13"/>
      <c r="AI9" s="13"/>
      <c r="AJ9" s="12"/>
      <c r="AK9" s="12"/>
      <c r="AL9" s="12"/>
      <c r="AM9" s="12"/>
      <c r="AN9" s="12"/>
      <c r="AO9" s="12"/>
      <c r="AP9" s="65"/>
      <c r="AQ9" s="12"/>
      <c r="AR9" s="65"/>
      <c r="AS9" s="12"/>
      <c r="AT9" s="13"/>
      <c r="AU9" s="13"/>
      <c r="AV9" s="13"/>
      <c r="AW9" s="13"/>
      <c r="AX9" s="13"/>
      <c r="AY9" s="13"/>
      <c r="AZ9" s="13"/>
      <c r="BA9" s="12"/>
      <c r="BB9" s="12"/>
      <c r="BC9" s="12"/>
      <c r="BD9" s="12"/>
      <c r="BE9" s="12"/>
      <c r="BH9" s="12"/>
      <c r="BM9" s="14"/>
    </row>
    <row r="10" spans="4:19" ht="30.75" customHeight="1" thickBot="1">
      <c r="D10" s="114" t="s">
        <v>59</v>
      </c>
      <c r="E10" s="68"/>
      <c r="F10" s="72"/>
      <c r="J10" s="115" t="s">
        <v>6</v>
      </c>
      <c r="K10" s="115" t="s">
        <v>5</v>
      </c>
      <c r="L10" s="115" t="s">
        <v>26</v>
      </c>
      <c r="M10" s="116" t="s">
        <v>189</v>
      </c>
      <c r="O10" s="268" t="s">
        <v>169</v>
      </c>
      <c r="P10" s="269"/>
      <c r="Q10" s="269"/>
      <c r="R10" s="211"/>
      <c r="S10" s="212"/>
    </row>
    <row r="11" spans="4:19" ht="18.75" customHeight="1">
      <c r="D11" s="250" t="s">
        <v>68</v>
      </c>
      <c r="E11" s="251"/>
      <c r="F11" s="246"/>
      <c r="J11" s="270"/>
      <c r="K11" s="272">
        <v>40</v>
      </c>
      <c r="L11" s="274">
        <v>4</v>
      </c>
      <c r="M11" s="276">
        <f>(43560/($K11/12)*L11)</f>
        <v>52272</v>
      </c>
      <c r="O11" s="254" t="s">
        <v>197</v>
      </c>
      <c r="P11" s="255"/>
      <c r="Q11" s="255"/>
      <c r="R11" s="213"/>
      <c r="S11" s="214"/>
    </row>
    <row r="12" spans="4:71" ht="18" customHeight="1" thickBot="1">
      <c r="D12" s="250" t="s">
        <v>164</v>
      </c>
      <c r="E12" s="251"/>
      <c r="F12" s="246"/>
      <c r="J12" s="271"/>
      <c r="K12" s="273"/>
      <c r="L12" s="275"/>
      <c r="M12" s="277"/>
      <c r="O12" s="215"/>
      <c r="P12" s="216"/>
      <c r="Q12" s="217"/>
      <c r="R12" s="213"/>
      <c r="S12" s="214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66"/>
      <c r="AQ12" s="22"/>
      <c r="AR12" s="66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</row>
    <row r="13" spans="4:71" ht="28.5" customHeight="1" thickBot="1">
      <c r="D13" s="114" t="s">
        <v>60</v>
      </c>
      <c r="E13" s="117"/>
      <c r="F13" s="118"/>
      <c r="G13" s="1"/>
      <c r="H13" s="119"/>
      <c r="I13" s="119"/>
      <c r="J13" s="119"/>
      <c r="K13" s="1"/>
      <c r="L13" s="22"/>
      <c r="M13" s="22"/>
      <c r="N13" s="186"/>
      <c r="O13" s="256" t="s">
        <v>192</v>
      </c>
      <c r="P13" s="257"/>
      <c r="Q13" s="257"/>
      <c r="R13" s="218"/>
      <c r="S13" s="219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66"/>
      <c r="AQ13" s="22"/>
      <c r="AR13" s="66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</row>
    <row r="14" spans="4:71" ht="6" customHeight="1" thickBot="1">
      <c r="D14" s="245" t="s">
        <v>185</v>
      </c>
      <c r="E14" s="246"/>
      <c r="O14" s="252"/>
      <c r="P14" s="253"/>
      <c r="Q14" s="253"/>
      <c r="R14" s="220"/>
      <c r="S14" s="221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66"/>
      <c r="AQ14" s="22"/>
      <c r="AR14" s="66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</row>
    <row r="15" spans="4:71" ht="4.5" customHeight="1" thickBot="1">
      <c r="D15" s="247"/>
      <c r="E15" s="246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66"/>
      <c r="AQ15" s="22"/>
      <c r="AR15" s="66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</row>
    <row r="16" spans="4:71" ht="12.75" customHeight="1">
      <c r="D16" s="247"/>
      <c r="E16" s="246"/>
      <c r="F16" s="120" t="s">
        <v>121</v>
      </c>
      <c r="G16" s="121" t="s">
        <v>125</v>
      </c>
      <c r="H16" s="122" t="s">
        <v>66</v>
      </c>
      <c r="J16" s="229" t="s">
        <v>126</v>
      </c>
      <c r="K16" s="230"/>
      <c r="L16" s="231" t="s">
        <v>4</v>
      </c>
      <c r="M16" s="232"/>
      <c r="N16" s="233"/>
      <c r="O16" s="234" t="s">
        <v>167</v>
      </c>
      <c r="P16" s="235"/>
      <c r="Q16" s="236"/>
      <c r="R16" s="237" t="s">
        <v>0</v>
      </c>
      <c r="S16" s="238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66"/>
      <c r="AQ16" s="22"/>
      <c r="AR16" s="66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</row>
    <row r="17" spans="4:71" ht="18" customHeight="1" thickBot="1">
      <c r="D17" s="248"/>
      <c r="E17" s="249"/>
      <c r="F17" s="123" t="s">
        <v>153</v>
      </c>
      <c r="G17" s="124" t="s">
        <v>154</v>
      </c>
      <c r="H17" s="125" t="s">
        <v>155</v>
      </c>
      <c r="I17" s="52">
        <v>2003</v>
      </c>
      <c r="J17" s="126">
        <f>$Y$38</f>
        <v>2010</v>
      </c>
      <c r="K17" s="127">
        <f>$Z$38</f>
        <v>2011</v>
      </c>
      <c r="L17" s="128">
        <f>$Y$38</f>
        <v>2010</v>
      </c>
      <c r="M17" s="129">
        <f>$Z$38</f>
        <v>2011</v>
      </c>
      <c r="N17" s="187" t="s">
        <v>161</v>
      </c>
      <c r="O17" s="141">
        <f>$Y$38</f>
        <v>2010</v>
      </c>
      <c r="P17" s="142">
        <f>$Z$38</f>
        <v>2011</v>
      </c>
      <c r="Q17" s="173" t="s">
        <v>161</v>
      </c>
      <c r="R17" s="130" t="s">
        <v>156</v>
      </c>
      <c r="S17" s="182" t="s">
        <v>161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 s="22"/>
      <c r="BQ17" s="22"/>
      <c r="BR17" s="22"/>
      <c r="BS17" s="22"/>
    </row>
    <row r="18" spans="4:19" ht="4.5" customHeight="1" thickBot="1">
      <c r="D18" s="53"/>
      <c r="E18" s="54"/>
      <c r="F18" s="74"/>
      <c r="G18" s="55"/>
      <c r="H18" s="56"/>
      <c r="I18" s="57"/>
      <c r="J18" s="58"/>
      <c r="K18" s="59"/>
      <c r="L18" s="60"/>
      <c r="M18" s="61"/>
      <c r="N18" s="174"/>
      <c r="O18" s="62"/>
      <c r="P18" s="63"/>
      <c r="Q18" s="174"/>
      <c r="R18" s="64"/>
      <c r="S18" s="174"/>
    </row>
    <row r="19" spans="4:19" ht="21" customHeight="1">
      <c r="D19" s="78" t="s">
        <v>186</v>
      </c>
      <c r="E19" s="200" t="s">
        <v>213</v>
      </c>
      <c r="F19" s="79">
        <f aca="true" t="shared" si="0" ref="F19:F27">VLOOKUP($E19,$E$40:$Q$98,2)</f>
        <v>52272</v>
      </c>
      <c r="G19" s="80">
        <f aca="true" t="shared" si="1" ref="G19:G27">VLOOKUP($E19,$E$40:$Q$98,3)</f>
        <v>40</v>
      </c>
      <c r="H19" s="81">
        <f aca="true" t="shared" si="2" ref="H19:H27">VLOOKUP($E19,$E$40:$Q$98,4)</f>
        <v>4</v>
      </c>
      <c r="I19" s="82">
        <f aca="true" t="shared" si="3" ref="I19:I27">VLOOKUP($E19,$E$40:$Q$98,5)</f>
      </c>
      <c r="J19" s="83">
        <f aca="true" t="shared" si="4" ref="J19:J27">VLOOKUP($E19,$E$40:$S$98,6)</f>
        <v>0</v>
      </c>
      <c r="K19" s="84">
        <f aca="true" t="shared" si="5" ref="K19:K27">VLOOKUP($E19,$E$40:$S$98,7)</f>
        <v>69.35544</v>
      </c>
      <c r="L19" s="85">
        <f aca="true" t="shared" si="6" ref="L19:L27">VLOOKUP($E19,$E$40:$S$98,8)</f>
      </c>
      <c r="M19" s="86">
        <f aca="true" t="shared" si="7" ref="M19:M27">VLOOKUP($E19,$E$40:$S$98,9)</f>
        <v>28.512</v>
      </c>
      <c r="N19" s="188" t="str">
        <f aca="true" t="shared" si="8" ref="N19:N27">VLOOKUP($E19,$E$40:$S$98,10)</f>
        <v>New</v>
      </c>
      <c r="O19" s="87">
        <f aca="true" t="shared" si="9" ref="O19:O27">VLOOKUP($E19,$E$40:$S$98,11)</f>
      </c>
      <c r="P19" s="88">
        <f aca="true" t="shared" si="10" ref="P19:P27">VLOOKUP($E19,$E$40:$S$98,12)</f>
        <v>40.84344</v>
      </c>
      <c r="Q19" s="175" t="str">
        <f aca="true" t="shared" si="11" ref="Q19:Q27">VLOOKUP($E19,$E$40:$S$98,13)</f>
        <v>New</v>
      </c>
      <c r="R19" s="89" t="str">
        <f aca="true" t="shared" si="12" ref="R19:R27">VLOOKUP($E19,$E$40:$S$98,14)</f>
        <v>New</v>
      </c>
      <c r="S19" s="183">
        <f aca="true" t="shared" si="13" ref="S19:S27">VLOOKUP($E19,$E$40:$S$98,15)</f>
      </c>
    </row>
    <row r="20" spans="4:19" ht="21" customHeight="1">
      <c r="D20" s="78" t="s">
        <v>187</v>
      </c>
      <c r="E20" s="201" t="s">
        <v>73</v>
      </c>
      <c r="F20" s="90">
        <f t="shared" si="0"/>
        <v>52272</v>
      </c>
      <c r="G20" s="91">
        <f t="shared" si="1"/>
        <v>40</v>
      </c>
      <c r="H20" s="92">
        <f t="shared" si="2"/>
        <v>4</v>
      </c>
      <c r="I20" s="93">
        <f t="shared" si="3"/>
        <v>68.15814260869564</v>
      </c>
      <c r="J20" s="94">
        <f t="shared" si="4"/>
        <v>65.40818086956523</v>
      </c>
      <c r="K20" s="95">
        <f t="shared" si="5"/>
        <v>65.40818086956523</v>
      </c>
      <c r="L20" s="96">
        <f t="shared" si="6"/>
        <v>24.545113043478263</v>
      </c>
      <c r="M20" s="97">
        <f t="shared" si="7"/>
        <v>24.545113043478263</v>
      </c>
      <c r="N20" s="189">
        <f t="shared" si="8"/>
        <v>0</v>
      </c>
      <c r="O20" s="98">
        <f t="shared" si="9"/>
        <v>40.86306782608696</v>
      </c>
      <c r="P20" s="99">
        <f t="shared" si="10"/>
        <v>40.86306782608696</v>
      </c>
      <c r="Q20" s="176">
        <f t="shared" si="11"/>
        <v>0</v>
      </c>
      <c r="R20" s="100">
        <f t="shared" si="12"/>
        <v>0</v>
      </c>
      <c r="S20" s="184">
        <f t="shared" si="13"/>
        <v>0</v>
      </c>
    </row>
    <row r="21" spans="4:19" ht="21" customHeight="1">
      <c r="D21" s="78" t="s">
        <v>131</v>
      </c>
      <c r="E21" s="201" t="s">
        <v>75</v>
      </c>
      <c r="F21" s="90">
        <f t="shared" si="0"/>
        <v>52272</v>
      </c>
      <c r="G21" s="91">
        <f t="shared" si="1"/>
        <v>40</v>
      </c>
      <c r="H21" s="92">
        <f t="shared" si="2"/>
        <v>4</v>
      </c>
      <c r="I21" s="93">
        <f t="shared" si="3"/>
        <v>67.47633391304348</v>
      </c>
      <c r="J21" s="94">
        <f t="shared" si="4"/>
        <v>65.63545043478261</v>
      </c>
      <c r="K21" s="95">
        <f t="shared" si="5"/>
        <v>66.0899895652174</v>
      </c>
      <c r="L21" s="96">
        <f t="shared" si="6"/>
        <v>24.772382608695654</v>
      </c>
      <c r="M21" s="97">
        <f t="shared" si="7"/>
        <v>25.226921739130436</v>
      </c>
      <c r="N21" s="189">
        <f t="shared" si="8"/>
        <v>0.0183486238532109</v>
      </c>
      <c r="O21" s="98">
        <f t="shared" si="9"/>
        <v>40.86306782608696</v>
      </c>
      <c r="P21" s="99">
        <f t="shared" si="10"/>
        <v>40.86306782608696</v>
      </c>
      <c r="Q21" s="176">
        <f t="shared" si="11"/>
        <v>0</v>
      </c>
      <c r="R21" s="100">
        <f t="shared" si="12"/>
        <v>0.45453913043478167</v>
      </c>
      <c r="S21" s="184">
        <f t="shared" si="13"/>
        <v>0.006925207756232672</v>
      </c>
    </row>
    <row r="22" spans="4:19" ht="21" customHeight="1">
      <c r="D22" s="101" t="s">
        <v>143</v>
      </c>
      <c r="E22" s="199" t="s">
        <v>214</v>
      </c>
      <c r="F22" s="90">
        <f t="shared" si="0"/>
        <v>52272</v>
      </c>
      <c r="G22" s="91">
        <f t="shared" si="1"/>
        <v>40</v>
      </c>
      <c r="H22" s="92">
        <f t="shared" si="2"/>
        <v>4</v>
      </c>
      <c r="I22" s="93">
        <f t="shared" si="3"/>
        <v>0</v>
      </c>
      <c r="J22" s="94">
        <f t="shared" si="4"/>
        <v>0</v>
      </c>
      <c r="K22" s="95">
        <f t="shared" si="5"/>
        <v>72.45353739130435</v>
      </c>
      <c r="L22" s="96">
        <f t="shared" si="6"/>
      </c>
      <c r="M22" s="97">
        <f t="shared" si="7"/>
        <v>31.590469565217393</v>
      </c>
      <c r="N22" s="189" t="str">
        <f t="shared" si="8"/>
        <v>New</v>
      </c>
      <c r="O22" s="98">
        <f t="shared" si="9"/>
      </c>
      <c r="P22" s="99">
        <f t="shared" si="10"/>
        <v>40.86306782608696</v>
      </c>
      <c r="Q22" s="176" t="str">
        <f t="shared" si="11"/>
        <v>New</v>
      </c>
      <c r="R22" s="100" t="str">
        <f t="shared" si="12"/>
        <v>New</v>
      </c>
      <c r="S22" s="184">
        <f t="shared" si="13"/>
      </c>
    </row>
    <row r="23" spans="4:19" ht="21" customHeight="1">
      <c r="D23" s="102" t="s">
        <v>188</v>
      </c>
      <c r="E23" s="103" t="s">
        <v>215</v>
      </c>
      <c r="F23" s="90">
        <f t="shared" si="0"/>
        <v>52272</v>
      </c>
      <c r="G23" s="91">
        <f t="shared" si="1"/>
        <v>40</v>
      </c>
      <c r="H23" s="92">
        <f t="shared" si="2"/>
        <v>4</v>
      </c>
      <c r="I23" s="93">
        <f t="shared" si="3"/>
        <v>68.9572224</v>
      </c>
      <c r="J23" s="94">
        <f t="shared" si="4"/>
        <v>73.2539808</v>
      </c>
      <c r="K23" s="95">
        <f t="shared" si="5"/>
        <v>69.90857279999999</v>
      </c>
      <c r="L23" s="96">
        <f t="shared" si="6"/>
        <v>32.3981856</v>
      </c>
      <c r="M23" s="97">
        <f t="shared" si="7"/>
        <v>29.052777599999995</v>
      </c>
      <c r="N23" s="189">
        <f t="shared" si="8"/>
        <v>-0.10325911584382064</v>
      </c>
      <c r="O23" s="98">
        <f t="shared" si="9"/>
        <v>40.855795199999996</v>
      </c>
      <c r="P23" s="99">
        <f t="shared" si="10"/>
        <v>40.855795199999996</v>
      </c>
      <c r="Q23" s="176">
        <f t="shared" si="11"/>
        <v>0</v>
      </c>
      <c r="R23" s="100">
        <f t="shared" si="12"/>
        <v>-3.345408000000006</v>
      </c>
      <c r="S23" s="184">
        <f t="shared" si="13"/>
        <v>-0.04566861709718861</v>
      </c>
    </row>
    <row r="24" spans="4:19" ht="21" customHeight="1">
      <c r="D24" s="102" t="s">
        <v>92</v>
      </c>
      <c r="E24" s="103" t="s">
        <v>216</v>
      </c>
      <c r="F24" s="90">
        <f t="shared" si="0"/>
        <v>52272</v>
      </c>
      <c r="G24" s="91">
        <f t="shared" si="1"/>
        <v>40</v>
      </c>
      <c r="H24" s="92">
        <f t="shared" si="2"/>
        <v>4</v>
      </c>
      <c r="I24" s="93">
        <f t="shared" si="3"/>
      </c>
      <c r="J24" s="94">
        <f t="shared" si="4"/>
        <v>73.2539808</v>
      </c>
      <c r="K24" s="95">
        <f t="shared" si="5"/>
        <v>75.13577279999998</v>
      </c>
      <c r="L24" s="96">
        <f t="shared" si="6"/>
        <v>32.3981856</v>
      </c>
      <c r="M24" s="97">
        <f t="shared" si="7"/>
        <v>34.279977599999995</v>
      </c>
      <c r="N24" s="189">
        <f t="shared" si="8"/>
        <v>0.05808325266214909</v>
      </c>
      <c r="O24" s="98">
        <f t="shared" si="9"/>
        <v>40.855795199999996</v>
      </c>
      <c r="P24" s="99">
        <f t="shared" si="10"/>
        <v>40.855795199999996</v>
      </c>
      <c r="Q24" s="176">
        <f t="shared" si="11"/>
        <v>0</v>
      </c>
      <c r="R24" s="100">
        <f t="shared" si="12"/>
        <v>1.8817919999999901</v>
      </c>
      <c r="S24" s="184">
        <f t="shared" si="13"/>
        <v>0.025688597117168414</v>
      </c>
    </row>
    <row r="25" spans="4:19" ht="21" customHeight="1">
      <c r="D25" s="102" t="s">
        <v>158</v>
      </c>
      <c r="E25" s="103" t="s">
        <v>170</v>
      </c>
      <c r="F25" s="90">
        <f t="shared" si="0"/>
        <v>52272</v>
      </c>
      <c r="G25" s="91">
        <f t="shared" si="1"/>
        <v>40</v>
      </c>
      <c r="H25" s="92">
        <f t="shared" si="2"/>
        <v>4</v>
      </c>
      <c r="I25" s="93">
        <f t="shared" si="3"/>
        <v>76.4478</v>
      </c>
      <c r="J25" s="94">
        <f t="shared" si="4"/>
        <v>71.96904</v>
      </c>
      <c r="K25" s="95">
        <f t="shared" si="5"/>
        <v>68.16744</v>
      </c>
      <c r="L25" s="96">
        <f t="shared" si="6"/>
        <v>31.125600000000002</v>
      </c>
      <c r="M25" s="97">
        <f t="shared" si="7"/>
        <v>27.324</v>
      </c>
      <c r="N25" s="189">
        <f t="shared" si="8"/>
        <v>-0.12213740458015265</v>
      </c>
      <c r="O25" s="98">
        <f t="shared" si="9"/>
        <v>40.84344</v>
      </c>
      <c r="P25" s="99">
        <f t="shared" si="10"/>
        <v>40.84344</v>
      </c>
      <c r="Q25" s="176">
        <f t="shared" si="11"/>
        <v>0</v>
      </c>
      <c r="R25" s="100">
        <f t="shared" si="12"/>
        <v>-3.8016000000000076</v>
      </c>
      <c r="S25" s="184">
        <f t="shared" si="13"/>
        <v>-0.052822713766919875</v>
      </c>
    </row>
    <row r="26" spans="4:19" ht="21" customHeight="1">
      <c r="D26" s="102" t="s">
        <v>159</v>
      </c>
      <c r="E26" s="103" t="s">
        <v>236</v>
      </c>
      <c r="F26" s="90">
        <f t="shared" si="0"/>
        <v>52272</v>
      </c>
      <c r="G26" s="91">
        <f t="shared" si="1"/>
        <v>40</v>
      </c>
      <c r="H26" s="92">
        <f t="shared" si="2"/>
        <v>4</v>
      </c>
      <c r="I26" s="93">
        <f t="shared" si="3"/>
        <v>68.15814260869564</v>
      </c>
      <c r="J26" s="94">
        <f t="shared" si="4"/>
        <v>65.40818086956523</v>
      </c>
      <c r="K26" s="95">
        <f t="shared" si="5"/>
        <v>65.40818086956523</v>
      </c>
      <c r="L26" s="96">
        <f t="shared" si="6"/>
        <v>24.545113043478263</v>
      </c>
      <c r="M26" s="97">
        <f t="shared" si="7"/>
        <v>24.545113043478263</v>
      </c>
      <c r="N26" s="189">
        <f t="shared" si="8"/>
        <v>0</v>
      </c>
      <c r="O26" s="98">
        <f t="shared" si="9"/>
        <v>40.86306782608696</v>
      </c>
      <c r="P26" s="99">
        <f t="shared" si="10"/>
        <v>40.86306782608696</v>
      </c>
      <c r="Q26" s="176">
        <f t="shared" si="11"/>
        <v>0</v>
      </c>
      <c r="R26" s="100">
        <f t="shared" si="12"/>
        <v>0</v>
      </c>
      <c r="S26" s="184">
        <f t="shared" si="13"/>
        <v>0</v>
      </c>
    </row>
    <row r="27" spans="4:19" ht="21" customHeight="1" thickBot="1">
      <c r="D27" s="104" t="s">
        <v>160</v>
      </c>
      <c r="E27" s="105" t="s">
        <v>199</v>
      </c>
      <c r="F27" s="106">
        <f t="shared" si="0"/>
        <v>52272</v>
      </c>
      <c r="G27" s="91">
        <f t="shared" si="1"/>
        <v>40</v>
      </c>
      <c r="H27" s="92">
        <f t="shared" si="2"/>
        <v>4</v>
      </c>
      <c r="I27" s="93">
        <f t="shared" si="3"/>
        <v>66.47634782608695</v>
      </c>
      <c r="J27" s="107">
        <f t="shared" si="4"/>
        <v>71.96904</v>
      </c>
      <c r="K27" s="108">
        <f t="shared" si="5"/>
        <v>73.15704</v>
      </c>
      <c r="L27" s="109">
        <f t="shared" si="6"/>
        <v>31.125600000000002</v>
      </c>
      <c r="M27" s="110">
        <f t="shared" si="7"/>
        <v>32.3136</v>
      </c>
      <c r="N27" s="190">
        <f t="shared" si="8"/>
        <v>0.03816793893129766</v>
      </c>
      <c r="O27" s="111">
        <f t="shared" si="9"/>
        <v>40.84344</v>
      </c>
      <c r="P27" s="112">
        <f t="shared" si="10"/>
        <v>40.84344</v>
      </c>
      <c r="Q27" s="177">
        <f t="shared" si="11"/>
        <v>0</v>
      </c>
      <c r="R27" s="113">
        <f t="shared" si="12"/>
        <v>1.1879999999999882</v>
      </c>
      <c r="S27" s="185">
        <f t="shared" si="13"/>
        <v>0.016507098052162265</v>
      </c>
    </row>
    <row r="28" spans="3:65" s="4" customFormat="1" ht="6.75" customHeight="1">
      <c r="C28" s="41"/>
      <c r="D28" s="41"/>
      <c r="E28" s="41"/>
      <c r="F28" s="75"/>
      <c r="G28" s="41"/>
      <c r="H28" s="41"/>
      <c r="I28" s="42"/>
      <c r="J28" s="13"/>
      <c r="K28" s="13"/>
      <c r="L28" s="44"/>
      <c r="M28" s="44"/>
      <c r="N28" s="179"/>
      <c r="O28" s="45"/>
      <c r="P28" s="46"/>
      <c r="Q28" s="178"/>
      <c r="R28" s="43"/>
      <c r="S28" s="179"/>
      <c r="T28" s="3"/>
      <c r="U28" s="41"/>
      <c r="W28" s="3"/>
      <c r="X28" s="12"/>
      <c r="Y28" s="12"/>
      <c r="Z28" s="12"/>
      <c r="AA28" s="12"/>
      <c r="AB28" s="12"/>
      <c r="AC28" s="12"/>
      <c r="AD28" s="12"/>
      <c r="AE28" s="12"/>
      <c r="AF28" s="12"/>
      <c r="AG28" s="13"/>
      <c r="AH28" s="13"/>
      <c r="AI28" s="13"/>
      <c r="AJ28" s="12"/>
      <c r="AK28" s="12"/>
      <c r="AL28" s="12"/>
      <c r="AM28" s="12"/>
      <c r="AN28" s="12"/>
      <c r="AO28" s="12"/>
      <c r="AP28" s="65"/>
      <c r="AQ28" s="12"/>
      <c r="AR28" s="65"/>
      <c r="AS28" s="12"/>
      <c r="AT28" s="13"/>
      <c r="AU28" s="13"/>
      <c r="AV28" s="13"/>
      <c r="AW28" s="13"/>
      <c r="AX28" s="13"/>
      <c r="AY28" s="3"/>
      <c r="AZ28" s="3"/>
      <c r="BA28" s="12"/>
      <c r="BB28" s="12"/>
      <c r="BC28" s="12"/>
      <c r="BD28" s="12"/>
      <c r="BE28" s="12"/>
      <c r="BH28" s="12"/>
      <c r="BM28" s="14"/>
    </row>
    <row r="29" spans="4:65" s="4" customFormat="1" ht="13.5" customHeight="1">
      <c r="D29" s="4" t="s">
        <v>9</v>
      </c>
      <c r="F29" s="76"/>
      <c r="G29" s="48"/>
      <c r="H29" s="49"/>
      <c r="I29" s="42"/>
      <c r="J29" s="13"/>
      <c r="K29" s="13"/>
      <c r="L29" s="44"/>
      <c r="M29" s="44"/>
      <c r="N29" s="179"/>
      <c r="O29" s="45"/>
      <c r="P29" s="46"/>
      <c r="Q29" s="178"/>
      <c r="R29" s="43"/>
      <c r="S29" s="179"/>
      <c r="T29" s="3"/>
      <c r="W29" s="3"/>
      <c r="X29" s="12"/>
      <c r="Y29" s="12"/>
      <c r="Z29" s="12"/>
      <c r="AA29" s="12"/>
      <c r="AB29" s="12"/>
      <c r="AC29" s="12"/>
      <c r="AD29" s="12"/>
      <c r="AE29" s="12"/>
      <c r="AF29" s="12"/>
      <c r="AG29" s="13"/>
      <c r="AH29" s="13"/>
      <c r="AI29" s="13"/>
      <c r="AJ29" s="12"/>
      <c r="AK29" s="12"/>
      <c r="AL29" s="12"/>
      <c r="AM29" s="12"/>
      <c r="AN29" s="12"/>
      <c r="AO29" s="12"/>
      <c r="AP29" s="65"/>
      <c r="AQ29" s="12"/>
      <c r="AR29" s="65"/>
      <c r="AS29" s="12"/>
      <c r="AT29" s="13"/>
      <c r="AU29" s="13"/>
      <c r="AV29" s="13"/>
      <c r="AW29" s="13"/>
      <c r="AX29" s="13"/>
      <c r="AY29" s="3"/>
      <c r="AZ29" s="3"/>
      <c r="BA29" s="12"/>
      <c r="BB29" s="12"/>
      <c r="BC29" s="12"/>
      <c r="BD29" s="12"/>
      <c r="BE29" s="12"/>
      <c r="BH29" s="12"/>
      <c r="BM29" s="14"/>
    </row>
    <row r="30" spans="1:65" s="165" customFormat="1" ht="18" customHeight="1">
      <c r="A30" s="198"/>
      <c r="B30" s="198"/>
      <c r="C30" s="198"/>
      <c r="D30" s="4" t="s">
        <v>168</v>
      </c>
      <c r="E30" s="4"/>
      <c r="F30" s="76"/>
      <c r="G30" s="48"/>
      <c r="H30" s="49"/>
      <c r="I30" s="42"/>
      <c r="J30" s="13"/>
      <c r="K30" s="13"/>
      <c r="L30" s="44"/>
      <c r="M30" s="44"/>
      <c r="N30" s="179"/>
      <c r="O30" s="45"/>
      <c r="P30" s="46"/>
      <c r="Q30" s="179"/>
      <c r="R30" s="43"/>
      <c r="S30" s="179"/>
      <c r="T30" s="198"/>
      <c r="U30" s="198"/>
      <c r="V30" s="198"/>
      <c r="W30" s="198"/>
      <c r="X30" s="167"/>
      <c r="Y30" s="167"/>
      <c r="Z30" s="167"/>
      <c r="AA30" s="167"/>
      <c r="AB30" s="167"/>
      <c r="AC30" s="167"/>
      <c r="AD30" s="167"/>
      <c r="AE30" s="167"/>
      <c r="AF30" s="167"/>
      <c r="AG30" s="168"/>
      <c r="AH30" s="168"/>
      <c r="AI30" s="168"/>
      <c r="AJ30" s="167"/>
      <c r="AK30" s="167"/>
      <c r="AL30" s="167"/>
      <c r="AM30" s="167"/>
      <c r="AN30" s="167"/>
      <c r="AO30" s="167"/>
      <c r="AP30" s="169"/>
      <c r="AQ30" s="167"/>
      <c r="AR30" s="169"/>
      <c r="AS30" s="167"/>
      <c r="AT30" s="168"/>
      <c r="AU30" s="168"/>
      <c r="AV30" s="168"/>
      <c r="AW30" s="168"/>
      <c r="AX30" s="168"/>
      <c r="AY30" s="166"/>
      <c r="AZ30" s="166"/>
      <c r="BA30" s="167"/>
      <c r="BB30" s="167"/>
      <c r="BC30" s="167"/>
      <c r="BD30" s="167"/>
      <c r="BE30" s="167"/>
      <c r="BH30" s="167"/>
      <c r="BM30" s="170"/>
    </row>
    <row r="31" spans="4:65" s="165" customFormat="1" ht="18" customHeight="1">
      <c r="D31" s="4" t="s">
        <v>91</v>
      </c>
      <c r="E31" s="4"/>
      <c r="F31" s="76"/>
      <c r="G31" s="48"/>
      <c r="H31" s="49"/>
      <c r="I31" s="42"/>
      <c r="J31" s="13"/>
      <c r="K31" s="13"/>
      <c r="L31" s="44"/>
      <c r="M31" s="44"/>
      <c r="N31" s="179"/>
      <c r="O31" s="45"/>
      <c r="P31" s="46"/>
      <c r="Q31" s="179"/>
      <c r="R31" s="43"/>
      <c r="S31" s="179"/>
      <c r="T31" s="166"/>
      <c r="W31" s="166"/>
      <c r="X31" s="167"/>
      <c r="Y31" s="167"/>
      <c r="Z31" s="167"/>
      <c r="AA31" s="167"/>
      <c r="AB31" s="167"/>
      <c r="AC31" s="167"/>
      <c r="AD31" s="167"/>
      <c r="AE31" s="167"/>
      <c r="AF31" s="167"/>
      <c r="AG31" s="168"/>
      <c r="AH31" s="168"/>
      <c r="AI31" s="168"/>
      <c r="AJ31" s="167"/>
      <c r="AK31" s="167"/>
      <c r="AL31" s="167"/>
      <c r="AM31" s="167"/>
      <c r="AN31" s="167"/>
      <c r="AO31" s="167"/>
      <c r="AP31" s="169"/>
      <c r="AQ31" s="167"/>
      <c r="AR31" s="169"/>
      <c r="AS31" s="167"/>
      <c r="AT31" s="168"/>
      <c r="AU31" s="168"/>
      <c r="AV31" s="168"/>
      <c r="AW31" s="168"/>
      <c r="AX31" s="168"/>
      <c r="AY31" s="166"/>
      <c r="AZ31" s="166"/>
      <c r="BA31" s="167"/>
      <c r="BB31" s="167"/>
      <c r="BC31" s="167"/>
      <c r="BD31" s="167"/>
      <c r="BE31" s="167"/>
      <c r="BH31" s="167"/>
      <c r="BM31" s="170"/>
    </row>
    <row r="32" spans="4:65" s="165" customFormat="1" ht="18" customHeight="1">
      <c r="D32" s="4" t="s">
        <v>113</v>
      </c>
      <c r="E32" s="4"/>
      <c r="F32" s="76"/>
      <c r="G32" s="48"/>
      <c r="H32" s="49"/>
      <c r="I32" s="42"/>
      <c r="J32" s="13"/>
      <c r="K32" s="13"/>
      <c r="L32" s="44"/>
      <c r="M32" s="44"/>
      <c r="N32" s="179"/>
      <c r="O32" s="45"/>
      <c r="P32" s="46"/>
      <c r="Q32" s="179"/>
      <c r="R32" s="43"/>
      <c r="S32" s="179"/>
      <c r="T32" s="166"/>
      <c r="W32" s="166"/>
      <c r="X32" s="167"/>
      <c r="Y32" s="167"/>
      <c r="Z32" s="167"/>
      <c r="AA32" s="167"/>
      <c r="AB32" s="167"/>
      <c r="AC32" s="167"/>
      <c r="AD32" s="167"/>
      <c r="AE32" s="167"/>
      <c r="AF32" s="167"/>
      <c r="AG32" s="168"/>
      <c r="AH32" s="168"/>
      <c r="AI32" s="168"/>
      <c r="AJ32" s="167"/>
      <c r="AK32" s="167"/>
      <c r="AL32" s="167"/>
      <c r="AM32" s="167"/>
      <c r="AN32" s="167"/>
      <c r="AO32" s="167"/>
      <c r="AP32" s="169"/>
      <c r="AQ32" s="167"/>
      <c r="AR32" s="169"/>
      <c r="AS32" s="167"/>
      <c r="AT32" s="168"/>
      <c r="AU32" s="168"/>
      <c r="AV32" s="168"/>
      <c r="AW32" s="168"/>
      <c r="AX32" s="168"/>
      <c r="AY32" s="166"/>
      <c r="AZ32" s="166"/>
      <c r="BA32" s="167"/>
      <c r="BB32" s="167"/>
      <c r="BC32" s="167"/>
      <c r="BD32" s="167"/>
      <c r="BE32" s="167"/>
      <c r="BH32" s="167"/>
      <c r="BM32" s="170"/>
    </row>
    <row r="33" spans="4:65" s="165" customFormat="1" ht="16.5" customHeight="1">
      <c r="D33" s="222" t="s">
        <v>201</v>
      </c>
      <c r="E33" s="4"/>
      <c r="F33" s="76"/>
      <c r="G33" s="48"/>
      <c r="H33" s="49"/>
      <c r="I33" s="42"/>
      <c r="J33" s="13"/>
      <c r="K33" s="13"/>
      <c r="L33" s="44"/>
      <c r="M33" s="44"/>
      <c r="N33" s="179"/>
      <c r="O33" s="45"/>
      <c r="P33" s="46"/>
      <c r="Q33" s="179"/>
      <c r="R33" s="43"/>
      <c r="S33" s="179"/>
      <c r="T33" s="166"/>
      <c r="W33" s="166"/>
      <c r="X33" s="167"/>
      <c r="Y33" s="167"/>
      <c r="Z33" s="167"/>
      <c r="AA33" s="167"/>
      <c r="AB33" s="167"/>
      <c r="AC33" s="167"/>
      <c r="AD33" s="167"/>
      <c r="AE33" s="167"/>
      <c r="AF33" s="167"/>
      <c r="AG33" s="168"/>
      <c r="AH33" s="168"/>
      <c r="AI33" s="168"/>
      <c r="AJ33" s="167"/>
      <c r="AK33" s="167"/>
      <c r="AL33" s="167"/>
      <c r="AM33" s="167"/>
      <c r="AN33" s="167"/>
      <c r="AO33" s="167"/>
      <c r="AP33" s="169"/>
      <c r="AQ33" s="167"/>
      <c r="AR33" s="169"/>
      <c r="AS33" s="167"/>
      <c r="AT33" s="168"/>
      <c r="AU33" s="168"/>
      <c r="AV33" s="168"/>
      <c r="AW33" s="168"/>
      <c r="AX33" s="168"/>
      <c r="AY33" s="166"/>
      <c r="AZ33" s="166"/>
      <c r="BA33" s="167"/>
      <c r="BB33" s="167"/>
      <c r="BC33" s="167"/>
      <c r="BD33" s="167"/>
      <c r="BE33" s="167"/>
      <c r="BH33" s="167"/>
      <c r="BM33" s="170"/>
    </row>
    <row r="34" spans="4:65" s="165" customFormat="1" ht="9" customHeight="1"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166"/>
      <c r="W34" s="166"/>
      <c r="X34" s="167"/>
      <c r="Y34" s="167"/>
      <c r="Z34" s="167"/>
      <c r="AA34" s="167"/>
      <c r="AB34" s="167"/>
      <c r="AC34" s="167"/>
      <c r="AD34" s="167"/>
      <c r="AE34" s="167"/>
      <c r="AF34" s="167"/>
      <c r="AG34" s="168"/>
      <c r="AH34" s="168"/>
      <c r="AI34" s="168"/>
      <c r="AJ34" s="167"/>
      <c r="AK34" s="167"/>
      <c r="AL34" s="167"/>
      <c r="AM34" s="167"/>
      <c r="AN34" s="167"/>
      <c r="AO34" s="167"/>
      <c r="AP34" s="169"/>
      <c r="AQ34" s="167"/>
      <c r="AR34" s="169"/>
      <c r="AS34" s="167"/>
      <c r="AT34" s="168"/>
      <c r="AU34" s="168"/>
      <c r="AV34" s="168"/>
      <c r="AW34" s="168"/>
      <c r="AX34" s="168"/>
      <c r="AY34" s="166"/>
      <c r="AZ34" s="166"/>
      <c r="BA34" s="167"/>
      <c r="BB34" s="167"/>
      <c r="BC34" s="167"/>
      <c r="BD34" s="167"/>
      <c r="BE34" s="167"/>
      <c r="BH34" s="167"/>
      <c r="BM34" s="170"/>
    </row>
    <row r="35" spans="4:65" s="4" customFormat="1" ht="9" customHeight="1" thickBot="1"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3"/>
      <c r="W35" s="3"/>
      <c r="X35" s="12"/>
      <c r="Y35" s="12"/>
      <c r="Z35" s="12"/>
      <c r="AA35" s="12"/>
      <c r="AB35" s="12"/>
      <c r="AC35" s="12"/>
      <c r="AD35" s="12"/>
      <c r="AE35" s="12"/>
      <c r="AF35" s="12"/>
      <c r="AG35" s="13"/>
      <c r="AH35" s="13"/>
      <c r="AI35" s="13"/>
      <c r="AJ35" s="12"/>
      <c r="AK35" s="12"/>
      <c r="AL35" s="12"/>
      <c r="AM35" s="12"/>
      <c r="AN35" s="12"/>
      <c r="AO35" s="12"/>
      <c r="AP35" s="65"/>
      <c r="AQ35" s="12"/>
      <c r="AR35" s="65"/>
      <c r="AS35" s="12"/>
      <c r="AT35" s="13"/>
      <c r="AU35" s="13"/>
      <c r="AV35" s="13"/>
      <c r="AW35" s="13"/>
      <c r="AX35" s="13"/>
      <c r="AY35" s="3"/>
      <c r="AZ35" s="3"/>
      <c r="BA35" s="12"/>
      <c r="BB35" s="12"/>
      <c r="BC35" s="12"/>
      <c r="BD35" s="12"/>
      <c r="BE35" s="12"/>
      <c r="BH35" s="12"/>
      <c r="BM35" s="14"/>
    </row>
    <row r="36" spans="4:19" ht="18" customHeight="1" thickBot="1" thickTop="1">
      <c r="D36" s="193" t="s">
        <v>86</v>
      </c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5"/>
    </row>
    <row r="37" spans="4:61" ht="18" customHeight="1">
      <c r="D37" s="131"/>
      <c r="E37" s="132"/>
      <c r="F37" s="120" t="s">
        <v>121</v>
      </c>
      <c r="G37" s="121" t="s">
        <v>125</v>
      </c>
      <c r="H37" s="133" t="s">
        <v>66</v>
      </c>
      <c r="I37" s="134" t="s">
        <v>126</v>
      </c>
      <c r="J37" s="229" t="s">
        <v>126</v>
      </c>
      <c r="K37" s="230"/>
      <c r="L37" s="231" t="s">
        <v>4</v>
      </c>
      <c r="M37" s="232"/>
      <c r="N37" s="233"/>
      <c r="O37" s="234" t="s">
        <v>167</v>
      </c>
      <c r="P37" s="235"/>
      <c r="Q37" s="236"/>
      <c r="R37" s="237" t="s">
        <v>1</v>
      </c>
      <c r="S37" s="238"/>
      <c r="T37" s="1"/>
      <c r="W37" s="1"/>
      <c r="X37" s="23" t="s">
        <v>62</v>
      </c>
      <c r="Y37" s="23" t="s">
        <v>62</v>
      </c>
      <c r="Z37" s="23" t="s">
        <v>62</v>
      </c>
      <c r="AA37" s="23" t="s">
        <v>63</v>
      </c>
      <c r="AB37" s="23"/>
      <c r="AC37" s="23" t="s">
        <v>63</v>
      </c>
      <c r="AD37" s="23"/>
      <c r="AE37" s="23" t="s">
        <v>63</v>
      </c>
      <c r="AF37" s="23"/>
      <c r="AG37" s="24" t="s">
        <v>64</v>
      </c>
      <c r="AH37" s="24" t="s">
        <v>64</v>
      </c>
      <c r="AI37" s="24" t="s">
        <v>64</v>
      </c>
      <c r="AJ37" s="135" t="s">
        <v>41</v>
      </c>
      <c r="AK37" s="26"/>
      <c r="AL37" s="135" t="s">
        <v>225</v>
      </c>
      <c r="AM37" s="26"/>
      <c r="AN37" s="135" t="s">
        <v>146</v>
      </c>
      <c r="AO37" s="26"/>
      <c r="AP37" s="67">
        <v>2009</v>
      </c>
      <c r="AQ37" s="23" t="s">
        <v>147</v>
      </c>
      <c r="AR37" s="67">
        <v>2010</v>
      </c>
      <c r="AS37" s="23" t="s">
        <v>148</v>
      </c>
      <c r="AT37" s="239" t="s">
        <v>31</v>
      </c>
      <c r="AU37" s="240"/>
      <c r="AV37" s="241"/>
      <c r="AW37" s="242" t="s">
        <v>32</v>
      </c>
      <c r="AX37" s="243"/>
      <c r="AY37" s="244"/>
      <c r="AZ37" s="13" t="s">
        <v>195</v>
      </c>
      <c r="BA37" s="136">
        <v>2011</v>
      </c>
      <c r="BB37" s="136">
        <v>2011</v>
      </c>
      <c r="BC37" s="136">
        <v>2011</v>
      </c>
      <c r="BD37" s="136">
        <v>2011</v>
      </c>
      <c r="BE37" s="136">
        <v>2011</v>
      </c>
      <c r="BF37" s="136">
        <v>2010</v>
      </c>
      <c r="BG37" s="136">
        <v>2010</v>
      </c>
      <c r="BH37" s="136">
        <v>2010</v>
      </c>
      <c r="BI37" s="136">
        <v>2010</v>
      </c>
    </row>
    <row r="38" spans="4:65" ht="15.75" customHeight="1" thickBot="1">
      <c r="D38" s="137" t="s">
        <v>151</v>
      </c>
      <c r="E38" s="138" t="s">
        <v>152</v>
      </c>
      <c r="F38" s="123" t="s">
        <v>153</v>
      </c>
      <c r="G38" s="124" t="s">
        <v>154</v>
      </c>
      <c r="H38" s="139" t="s">
        <v>155</v>
      </c>
      <c r="I38" s="140">
        <v>2003</v>
      </c>
      <c r="J38" s="126">
        <f>$Y$38</f>
        <v>2010</v>
      </c>
      <c r="K38" s="127">
        <f>$Z$38</f>
        <v>2011</v>
      </c>
      <c r="L38" s="128">
        <f>$Y$38</f>
        <v>2010</v>
      </c>
      <c r="M38" s="129">
        <f>$Z$38</f>
        <v>2011</v>
      </c>
      <c r="N38" s="187" t="s">
        <v>161</v>
      </c>
      <c r="O38" s="141">
        <f>$Y$38</f>
        <v>2010</v>
      </c>
      <c r="P38" s="142">
        <f>$Z$38</f>
        <v>2011</v>
      </c>
      <c r="Q38" s="173" t="s">
        <v>161</v>
      </c>
      <c r="R38" s="130" t="s">
        <v>156</v>
      </c>
      <c r="S38" s="182" t="s">
        <v>161</v>
      </c>
      <c r="X38" s="143">
        <v>2009</v>
      </c>
      <c r="Y38" s="143">
        <v>2010</v>
      </c>
      <c r="Z38" s="143">
        <v>2011</v>
      </c>
      <c r="AA38" s="26">
        <v>2009</v>
      </c>
      <c r="AB38" s="26" t="s">
        <v>84</v>
      </c>
      <c r="AC38" s="26">
        <v>2010</v>
      </c>
      <c r="AD38" s="26" t="s">
        <v>224</v>
      </c>
      <c r="AE38" s="26">
        <v>2011</v>
      </c>
      <c r="AF38" s="26" t="s">
        <v>145</v>
      </c>
      <c r="AG38" s="143">
        <v>2009</v>
      </c>
      <c r="AH38" s="143">
        <v>2010</v>
      </c>
      <c r="AI38" s="143">
        <v>2011</v>
      </c>
      <c r="AJ38" s="26" t="s">
        <v>165</v>
      </c>
      <c r="AK38" s="26" t="s">
        <v>65</v>
      </c>
      <c r="AL38" s="26" t="s">
        <v>165</v>
      </c>
      <c r="AM38" s="26" t="s">
        <v>65</v>
      </c>
      <c r="AN38" s="26" t="s">
        <v>165</v>
      </c>
      <c r="AO38" s="26" t="s">
        <v>65</v>
      </c>
      <c r="AP38" s="67" t="s">
        <v>65</v>
      </c>
      <c r="AQ38" s="23" t="s">
        <v>226</v>
      </c>
      <c r="AR38" s="67" t="s">
        <v>65</v>
      </c>
      <c r="AS38" s="23" t="s">
        <v>227</v>
      </c>
      <c r="AT38" s="28" t="s">
        <v>66</v>
      </c>
      <c r="AU38" s="28" t="s">
        <v>63</v>
      </c>
      <c r="AV38" s="28" t="s">
        <v>64</v>
      </c>
      <c r="AW38" s="24" t="s">
        <v>66</v>
      </c>
      <c r="AX38" s="24" t="s">
        <v>63</v>
      </c>
      <c r="AY38" s="24" t="s">
        <v>67</v>
      </c>
      <c r="AZ38" s="13" t="s">
        <v>196</v>
      </c>
      <c r="BA38" s="5" t="s">
        <v>162</v>
      </c>
      <c r="BB38" s="5" t="s">
        <v>153</v>
      </c>
      <c r="BC38" s="5" t="s">
        <v>163</v>
      </c>
      <c r="BD38" s="5" t="s">
        <v>237</v>
      </c>
      <c r="BE38" s="5" t="s">
        <v>117</v>
      </c>
      <c r="BF38" s="5" t="s">
        <v>162</v>
      </c>
      <c r="BG38" s="5" t="s">
        <v>238</v>
      </c>
      <c r="BH38" s="5" t="s">
        <v>163</v>
      </c>
      <c r="BI38" s="1" t="s">
        <v>239</v>
      </c>
      <c r="BK38" s="1" t="s">
        <v>118</v>
      </c>
      <c r="BL38" s="1" t="s">
        <v>119</v>
      </c>
      <c r="BM38" s="7" t="s">
        <v>120</v>
      </c>
    </row>
    <row r="39" spans="4:52" ht="3.75" customHeight="1" thickBot="1">
      <c r="D39" s="53"/>
      <c r="E39" s="144"/>
      <c r="F39" s="74"/>
      <c r="G39" s="55"/>
      <c r="H39" s="56"/>
      <c r="I39" s="57"/>
      <c r="J39" s="58"/>
      <c r="K39" s="59"/>
      <c r="L39" s="60"/>
      <c r="M39" s="61"/>
      <c r="N39" s="174"/>
      <c r="O39" s="62"/>
      <c r="P39" s="63"/>
      <c r="Q39" s="174"/>
      <c r="R39" s="64"/>
      <c r="S39" s="174"/>
      <c r="X39" s="145"/>
      <c r="Y39" s="145"/>
      <c r="Z39" s="145"/>
      <c r="AA39" s="145"/>
      <c r="AB39" s="145"/>
      <c r="AC39" s="145"/>
      <c r="AD39" s="145"/>
      <c r="AE39" s="145"/>
      <c r="AF39" s="145"/>
      <c r="AG39" s="146"/>
      <c r="AH39" s="146"/>
      <c r="AI39" s="146"/>
      <c r="AJ39" s="145"/>
      <c r="AK39" s="145"/>
      <c r="AL39" s="145"/>
      <c r="AM39" s="145"/>
      <c r="AN39" s="145"/>
      <c r="AO39" s="145"/>
      <c r="AP39" s="147"/>
      <c r="AQ39" s="145"/>
      <c r="AR39" s="147"/>
      <c r="AS39" s="145"/>
      <c r="AT39" s="146"/>
      <c r="AU39" s="146"/>
      <c r="AV39" s="146"/>
      <c r="AW39" s="146"/>
      <c r="AX39" s="146"/>
      <c r="AY39" s="146"/>
      <c r="AZ39" s="148"/>
    </row>
    <row r="40" spans="2:66" ht="18" customHeight="1">
      <c r="B40" s="4" t="s">
        <v>12</v>
      </c>
      <c r="C40" s="29" t="s">
        <v>61</v>
      </c>
      <c r="D40" s="159" t="s">
        <v>191</v>
      </c>
      <c r="E40" s="158" t="s">
        <v>233</v>
      </c>
      <c r="F40" s="79">
        <f aca="true" t="shared" si="14" ref="F40:F71">IF($J$11&gt;0,$J$11,$M$11)</f>
        <v>52272</v>
      </c>
      <c r="G40" s="80">
        <f aca="true" t="shared" si="15" ref="G40:G71">$K$11</f>
        <v>40</v>
      </c>
      <c r="H40" s="149">
        <f aca="true" t="shared" si="16" ref="H40:H71">$L$11</f>
        <v>4</v>
      </c>
      <c r="I40" s="150">
        <f aca="true" t="shared" si="17" ref="I40:I71">IF(AK40="","",IF($F40&gt;0,($F40/$AK40)*AG40,IF($G40&gt;0,(((43560/($G40/12))*$H40)/$AK40)*AG40,0)))</f>
      </c>
      <c r="J40" s="83">
        <f aca="true" t="shared" si="18" ref="J40:J71">BI40</f>
        <v>69.35544</v>
      </c>
      <c r="K40" s="84">
        <f aca="true" t="shared" si="19" ref="K40:K71">BD40</f>
        <v>69.35544</v>
      </c>
      <c r="L40" s="151">
        <f aca="true" t="shared" si="20" ref="L40:L71">BG40</f>
        <v>28.512</v>
      </c>
      <c r="M40" s="152">
        <f aca="true" t="shared" si="21" ref="M40:M71">BB40</f>
        <v>28.512</v>
      </c>
      <c r="N40" s="188">
        <f aca="true" t="shared" si="22" ref="N40:N71">IF(R40="New","New",(M40/L40)-1)</f>
        <v>0</v>
      </c>
      <c r="O40" s="153">
        <f aca="true" t="shared" si="23" ref="O40:O71">IF(AW40="","",BH40)</f>
        <v>40.84344</v>
      </c>
      <c r="P40" s="154">
        <f aca="true" t="shared" si="24" ref="P40:P71">IF(BC40="","",BC40)</f>
        <v>40.84344</v>
      </c>
      <c r="Q40" s="176">
        <f aca="true" t="shared" si="25" ref="Q40:Q71">IF(R40="New","New",IF(AX40="","",(P40/O40)-1))</f>
        <v>0</v>
      </c>
      <c r="R40" s="100">
        <f aca="true" t="shared" si="26" ref="R40:R71">IF(J40="","New",IF(J40=0,"New",K40-J40))</f>
        <v>0</v>
      </c>
      <c r="S40" s="184">
        <f aca="true" t="shared" si="27" ref="S40:S71">IF(R40="New","",R40/J40)</f>
        <v>0</v>
      </c>
      <c r="U40" s="207" t="s">
        <v>141</v>
      </c>
      <c r="V40" s="4" t="s">
        <v>12</v>
      </c>
      <c r="X40" s="161"/>
      <c r="Y40" s="161">
        <v>120</v>
      </c>
      <c r="Z40" s="161">
        <v>120</v>
      </c>
      <c r="AA40" s="161"/>
      <c r="AB40" s="161"/>
      <c r="AC40" s="161">
        <v>171.9</v>
      </c>
      <c r="AD40" s="161"/>
      <c r="AE40" s="161">
        <v>171.9</v>
      </c>
      <c r="AF40" s="161"/>
      <c r="AG40" s="32">
        <f aca="true" t="shared" si="28" ref="AG40:AG71">X40+(AA40+AB40)</f>
        <v>0</v>
      </c>
      <c r="AH40" s="32">
        <f aca="true" t="shared" si="29" ref="AH40:AH71">Y40+(AC40+AD40)</f>
        <v>291.9</v>
      </c>
      <c r="AI40" s="32">
        <f aca="true" t="shared" si="30" ref="AI40:AI71">Z40+(AE40+AF40)</f>
        <v>291.9</v>
      </c>
      <c r="AJ40" s="33"/>
      <c r="AK40" s="160"/>
      <c r="AL40" s="33"/>
      <c r="AM40" s="160">
        <v>220000</v>
      </c>
      <c r="AN40" s="33"/>
      <c r="AO40" s="160">
        <v>220000</v>
      </c>
      <c r="AP40" s="67">
        <f aca="true" t="shared" si="31" ref="AP40:AP71">AK40</f>
        <v>0</v>
      </c>
      <c r="AQ40" s="34" t="str">
        <f aca="true" t="shared" si="32" ref="AQ40:AQ71">IF(AK40&gt;0,AM40/AK40*100,"Not Avail.")</f>
        <v>Not Avail.</v>
      </c>
      <c r="AR40" s="67">
        <f aca="true" t="shared" si="33" ref="AR40:AR71">AM40</f>
        <v>220000</v>
      </c>
      <c r="AS40" s="34">
        <f aca="true" t="shared" si="34" ref="AS40:AS71">IF(AM40&gt;0,AO40/AM40*100,"Not Avail.")</f>
        <v>100</v>
      </c>
      <c r="AT40" s="28">
        <f aca="true" t="shared" si="35" ref="AT40:AT71">IF(Y40="","",Y40/AS40*100)</f>
        <v>120</v>
      </c>
      <c r="AU40" s="28">
        <f aca="true" t="shared" si="36" ref="AU40:AU71">IF(AC40="","",((AC40+AD40)/AS40*100))</f>
        <v>171.9</v>
      </c>
      <c r="AV40" s="28">
        <f aca="true" t="shared" si="37" ref="AV40:AV71">IF(AT40="","",SUM(AT40:AU40))</f>
        <v>291.9</v>
      </c>
      <c r="AW40" s="24">
        <f aca="true" t="shared" si="38" ref="AW40:AW71">IF(AT40="","",Z40-AT40)</f>
        <v>0</v>
      </c>
      <c r="AX40" s="24">
        <f aca="true" t="shared" si="39" ref="AX40:AX71">IF(AU40="","",(AE40+AF40)-AU40)</f>
        <v>0</v>
      </c>
      <c r="AY40" s="24">
        <f aca="true" t="shared" si="40" ref="AY40:AY71">IF(AH40&gt;0,AI40-AV40,"New")</f>
        <v>0</v>
      </c>
      <c r="AZ40" s="156">
        <f aca="true" t="shared" si="41" ref="AZ40:AZ71">F40</f>
        <v>52272</v>
      </c>
      <c r="BA40" s="35">
        <f aca="true" t="shared" si="42" ref="BA40:BA71">IF($F40&gt;0,($F40/$AO40),IF($G40&gt;0,(((43560/($G40/12))*$H40)/$AO40),0))</f>
        <v>0.2376</v>
      </c>
      <c r="BB40" s="35">
        <f aca="true" t="shared" si="43" ref="BB40:BB71">Z40/(1/BA40)</f>
        <v>28.512</v>
      </c>
      <c r="BC40" s="36">
        <f aca="true" t="shared" si="44" ref="BC40:BC71">((AE40+AF40)/(1/BA40))</f>
        <v>40.84344</v>
      </c>
      <c r="BD40" s="36">
        <f aca="true" t="shared" si="45" ref="BD40:BD71">BB40+BC40</f>
        <v>69.35544</v>
      </c>
      <c r="BE40" s="36" t="str">
        <f aca="true" t="shared" si="46" ref="BE40:BE71">IF(BD40=K40,"yes","no")</f>
        <v>yes</v>
      </c>
      <c r="BF40" s="37">
        <f aca="true" t="shared" si="47" ref="BF40:BF71">IF(AM40="","",IF($F40&gt;0,($F40/AM40),IF($G40&gt;0,((((43560/($G40/12))*$H40)/$AM40)),0)))</f>
        <v>0.2376</v>
      </c>
      <c r="BG40" s="37">
        <f aca="true" t="shared" si="48" ref="BG40:BG71">IF(Y40="","",Y40/(1/BF40))</f>
        <v>28.512</v>
      </c>
      <c r="BH40" s="36">
        <f aca="true" t="shared" si="49" ref="BH40:BH71">((AC40+AD40)/(1/BF40))</f>
        <v>40.84344</v>
      </c>
      <c r="BI40" s="38">
        <f aca="true" t="shared" si="50" ref="BI40:BI71">SUM(BG40:BH40)</f>
        <v>69.35544</v>
      </c>
      <c r="BJ40" s="1" t="str">
        <f aca="true" t="shared" si="51" ref="BJ40:BJ71">IF(J40=BI40,"yes","no")</f>
        <v>yes</v>
      </c>
      <c r="BK40" s="37">
        <f aca="true" t="shared" si="52" ref="BK40:BK52">IF(BG40="","",IF(BG40=0,"",BB40-BG40))</f>
        <v>0</v>
      </c>
      <c r="BL40" s="37">
        <f aca="true" t="shared" si="53" ref="BL40:BL52">IF(BH40="","",IF(BH40=0,"",BC40-BH40))</f>
        <v>0</v>
      </c>
      <c r="BM40" s="7">
        <f aca="true" t="shared" si="54" ref="BM40:BM71">IF(BK40="","",BD40-BI40)</f>
        <v>0</v>
      </c>
      <c r="BN40" s="7">
        <f aca="true" t="shared" si="55" ref="BN40:BN71">R40-BM40</f>
        <v>0</v>
      </c>
    </row>
    <row r="41" spans="3:66" ht="18" customHeight="1">
      <c r="C41" s="29"/>
      <c r="D41" s="159" t="s">
        <v>191</v>
      </c>
      <c r="E41" s="158" t="s">
        <v>39</v>
      </c>
      <c r="F41" s="79">
        <f t="shared" si="14"/>
        <v>52272</v>
      </c>
      <c r="G41" s="80">
        <f t="shared" si="15"/>
        <v>40</v>
      </c>
      <c r="H41" s="149">
        <f t="shared" si="16"/>
        <v>4</v>
      </c>
      <c r="I41" s="150">
        <f t="shared" si="17"/>
      </c>
      <c r="J41" s="83">
        <f t="shared" si="18"/>
        <v>0</v>
      </c>
      <c r="K41" s="84">
        <f t="shared" si="19"/>
        <v>69.35544</v>
      </c>
      <c r="L41" s="151">
        <f t="shared" si="20"/>
      </c>
      <c r="M41" s="152">
        <f t="shared" si="21"/>
        <v>28.512</v>
      </c>
      <c r="N41" s="188" t="str">
        <f t="shared" si="22"/>
        <v>New</v>
      </c>
      <c r="O41" s="153">
        <f t="shared" si="23"/>
      </c>
      <c r="P41" s="154">
        <f t="shared" si="24"/>
        <v>40.84344</v>
      </c>
      <c r="Q41" s="176" t="str">
        <f t="shared" si="25"/>
        <v>New</v>
      </c>
      <c r="R41" s="100" t="str">
        <f t="shared" si="26"/>
        <v>New</v>
      </c>
      <c r="S41" s="184">
        <f t="shared" si="27"/>
      </c>
      <c r="U41" s="207" t="s">
        <v>141</v>
      </c>
      <c r="V41" s="4" t="s">
        <v>12</v>
      </c>
      <c r="X41" s="161"/>
      <c r="Y41" s="161"/>
      <c r="Z41" s="161">
        <v>120</v>
      </c>
      <c r="AA41" s="161"/>
      <c r="AB41" s="161"/>
      <c r="AC41" s="161"/>
      <c r="AD41" s="161"/>
      <c r="AE41" s="161">
        <v>171.9</v>
      </c>
      <c r="AF41" s="161"/>
      <c r="AG41" s="32">
        <f t="shared" si="28"/>
        <v>0</v>
      </c>
      <c r="AH41" s="32">
        <f t="shared" si="29"/>
        <v>0</v>
      </c>
      <c r="AI41" s="32">
        <f t="shared" si="30"/>
        <v>291.9</v>
      </c>
      <c r="AJ41" s="33"/>
      <c r="AK41" s="160"/>
      <c r="AL41" s="33"/>
      <c r="AM41" s="160">
        <v>220000</v>
      </c>
      <c r="AN41" s="33"/>
      <c r="AO41" s="160">
        <v>220000</v>
      </c>
      <c r="AP41" s="67">
        <f t="shared" si="31"/>
        <v>0</v>
      </c>
      <c r="AQ41" s="34" t="str">
        <f t="shared" si="32"/>
        <v>Not Avail.</v>
      </c>
      <c r="AR41" s="67">
        <f t="shared" si="33"/>
        <v>220000</v>
      </c>
      <c r="AS41" s="34">
        <f t="shared" si="34"/>
        <v>100</v>
      </c>
      <c r="AT41" s="28">
        <f t="shared" si="35"/>
      </c>
      <c r="AU41" s="28">
        <f t="shared" si="36"/>
      </c>
      <c r="AV41" s="28">
        <f t="shared" si="37"/>
      </c>
      <c r="AW41" s="24">
        <f t="shared" si="38"/>
      </c>
      <c r="AX41" s="24">
        <f t="shared" si="39"/>
      </c>
      <c r="AY41" s="24" t="str">
        <f t="shared" si="40"/>
        <v>New</v>
      </c>
      <c r="AZ41" s="156">
        <f t="shared" si="41"/>
        <v>52272</v>
      </c>
      <c r="BA41" s="35">
        <f t="shared" si="42"/>
        <v>0.2376</v>
      </c>
      <c r="BB41" s="35">
        <f t="shared" si="43"/>
        <v>28.512</v>
      </c>
      <c r="BC41" s="36">
        <f t="shared" si="44"/>
        <v>40.84344</v>
      </c>
      <c r="BD41" s="36">
        <f t="shared" si="45"/>
        <v>69.35544</v>
      </c>
      <c r="BE41" s="36" t="str">
        <f t="shared" si="46"/>
        <v>yes</v>
      </c>
      <c r="BF41" s="37">
        <f t="shared" si="47"/>
        <v>0.2376</v>
      </c>
      <c r="BG41" s="37">
        <f t="shared" si="48"/>
      </c>
      <c r="BH41" s="36">
        <f t="shared" si="49"/>
        <v>0</v>
      </c>
      <c r="BI41" s="38">
        <f t="shared" si="50"/>
        <v>0</v>
      </c>
      <c r="BJ41" s="1" t="str">
        <f t="shared" si="51"/>
        <v>yes</v>
      </c>
      <c r="BK41" s="37">
        <f t="shared" si="52"/>
      </c>
      <c r="BL41" s="37">
        <f t="shared" si="53"/>
      </c>
      <c r="BM41" s="7">
        <f t="shared" si="54"/>
      </c>
      <c r="BN41" s="7" t="e">
        <f t="shared" si="55"/>
        <v>#VALUE!</v>
      </c>
    </row>
    <row r="42" spans="3:66" ht="18" customHeight="1">
      <c r="C42" s="29"/>
      <c r="D42" s="159" t="s">
        <v>191</v>
      </c>
      <c r="E42" s="158" t="s">
        <v>40</v>
      </c>
      <c r="F42" s="79">
        <f t="shared" si="14"/>
        <v>52272</v>
      </c>
      <c r="G42" s="80">
        <f t="shared" si="15"/>
        <v>40</v>
      </c>
      <c r="H42" s="149">
        <f t="shared" si="16"/>
        <v>4</v>
      </c>
      <c r="I42" s="150">
        <f t="shared" si="17"/>
      </c>
      <c r="J42" s="83">
        <f t="shared" si="18"/>
        <v>0</v>
      </c>
      <c r="K42" s="84">
        <f t="shared" si="19"/>
        <v>69.35544</v>
      </c>
      <c r="L42" s="151">
        <f t="shared" si="20"/>
      </c>
      <c r="M42" s="152">
        <f t="shared" si="21"/>
        <v>28.512</v>
      </c>
      <c r="N42" s="188" t="str">
        <f t="shared" si="22"/>
        <v>New</v>
      </c>
      <c r="O42" s="153">
        <f t="shared" si="23"/>
      </c>
      <c r="P42" s="154">
        <f t="shared" si="24"/>
        <v>40.84344</v>
      </c>
      <c r="Q42" s="176" t="str">
        <f t="shared" si="25"/>
        <v>New</v>
      </c>
      <c r="R42" s="100" t="str">
        <f t="shared" si="26"/>
        <v>New</v>
      </c>
      <c r="S42" s="184">
        <f t="shared" si="27"/>
      </c>
      <c r="U42" s="207" t="s">
        <v>141</v>
      </c>
      <c r="V42" s="4" t="s">
        <v>12</v>
      </c>
      <c r="X42" s="161"/>
      <c r="Y42" s="161"/>
      <c r="Z42" s="161">
        <v>120</v>
      </c>
      <c r="AA42" s="161"/>
      <c r="AB42" s="161"/>
      <c r="AC42" s="161"/>
      <c r="AD42" s="161"/>
      <c r="AE42" s="161">
        <v>171.9</v>
      </c>
      <c r="AF42" s="161"/>
      <c r="AG42" s="32">
        <f t="shared" si="28"/>
        <v>0</v>
      </c>
      <c r="AH42" s="32">
        <f t="shared" si="29"/>
        <v>0</v>
      </c>
      <c r="AI42" s="32">
        <f t="shared" si="30"/>
        <v>291.9</v>
      </c>
      <c r="AJ42" s="33"/>
      <c r="AK42" s="160"/>
      <c r="AL42" s="33"/>
      <c r="AM42" s="160">
        <v>220000</v>
      </c>
      <c r="AN42" s="33"/>
      <c r="AO42" s="160">
        <v>220000</v>
      </c>
      <c r="AP42" s="67">
        <f t="shared" si="31"/>
        <v>0</v>
      </c>
      <c r="AQ42" s="34" t="str">
        <f t="shared" si="32"/>
        <v>Not Avail.</v>
      </c>
      <c r="AR42" s="67">
        <f t="shared" si="33"/>
        <v>220000</v>
      </c>
      <c r="AS42" s="34">
        <f t="shared" si="34"/>
        <v>100</v>
      </c>
      <c r="AT42" s="28">
        <f t="shared" si="35"/>
      </c>
      <c r="AU42" s="28">
        <f t="shared" si="36"/>
      </c>
      <c r="AV42" s="28">
        <f t="shared" si="37"/>
      </c>
      <c r="AW42" s="24">
        <f t="shared" si="38"/>
      </c>
      <c r="AX42" s="24">
        <f t="shared" si="39"/>
      </c>
      <c r="AY42" s="24" t="str">
        <f t="shared" si="40"/>
        <v>New</v>
      </c>
      <c r="AZ42" s="156">
        <f t="shared" si="41"/>
        <v>52272</v>
      </c>
      <c r="BA42" s="35">
        <f t="shared" si="42"/>
        <v>0.2376</v>
      </c>
      <c r="BB42" s="35">
        <f t="shared" si="43"/>
        <v>28.512</v>
      </c>
      <c r="BC42" s="36">
        <f t="shared" si="44"/>
        <v>40.84344</v>
      </c>
      <c r="BD42" s="36">
        <f t="shared" si="45"/>
        <v>69.35544</v>
      </c>
      <c r="BE42" s="36" t="str">
        <f t="shared" si="46"/>
        <v>yes</v>
      </c>
      <c r="BF42" s="37">
        <f t="shared" si="47"/>
        <v>0.2376</v>
      </c>
      <c r="BG42" s="37">
        <f t="shared" si="48"/>
      </c>
      <c r="BH42" s="36">
        <f t="shared" si="49"/>
        <v>0</v>
      </c>
      <c r="BI42" s="38">
        <f t="shared" si="50"/>
        <v>0</v>
      </c>
      <c r="BJ42" s="1" t="str">
        <f t="shared" si="51"/>
        <v>yes</v>
      </c>
      <c r="BK42" s="37">
        <f t="shared" si="52"/>
      </c>
      <c r="BL42" s="37">
        <f t="shared" si="53"/>
      </c>
      <c r="BM42" s="7">
        <f t="shared" si="54"/>
      </c>
      <c r="BN42" s="7" t="e">
        <f t="shared" si="55"/>
        <v>#VALUE!</v>
      </c>
    </row>
    <row r="43" spans="2:66" ht="18" customHeight="1">
      <c r="B43" s="4" t="s">
        <v>12</v>
      </c>
      <c r="C43" s="4" t="s">
        <v>95</v>
      </c>
      <c r="D43" s="157" t="s">
        <v>191</v>
      </c>
      <c r="E43" s="158" t="s">
        <v>179</v>
      </c>
      <c r="F43" s="79">
        <f t="shared" si="14"/>
        <v>52272</v>
      </c>
      <c r="G43" s="80">
        <f t="shared" si="15"/>
        <v>40</v>
      </c>
      <c r="H43" s="149">
        <f t="shared" si="16"/>
        <v>4</v>
      </c>
      <c r="I43" s="150">
        <f t="shared" si="17"/>
        <v>67.5972</v>
      </c>
      <c r="J43" s="83">
        <f t="shared" si="18"/>
        <v>66.50424000000001</v>
      </c>
      <c r="K43" s="84">
        <f t="shared" si="19"/>
        <v>66.50424000000001</v>
      </c>
      <c r="L43" s="151">
        <f t="shared" si="20"/>
        <v>25.660800000000002</v>
      </c>
      <c r="M43" s="152">
        <f t="shared" si="21"/>
        <v>25.660800000000002</v>
      </c>
      <c r="N43" s="188">
        <f t="shared" si="22"/>
        <v>0</v>
      </c>
      <c r="O43" s="153">
        <f t="shared" si="23"/>
        <v>40.84344</v>
      </c>
      <c r="P43" s="154">
        <f t="shared" si="24"/>
        <v>40.84344</v>
      </c>
      <c r="Q43" s="176">
        <f t="shared" si="25"/>
        <v>0</v>
      </c>
      <c r="R43" s="100">
        <f t="shared" si="26"/>
        <v>0</v>
      </c>
      <c r="S43" s="184">
        <f t="shared" si="27"/>
        <v>0</v>
      </c>
      <c r="U43" s="208" t="s">
        <v>95</v>
      </c>
      <c r="V43" s="4" t="s">
        <v>12</v>
      </c>
      <c r="X43" s="32">
        <v>120</v>
      </c>
      <c r="Y43" s="32">
        <v>108</v>
      </c>
      <c r="Z43" s="32">
        <v>108</v>
      </c>
      <c r="AA43" s="32">
        <v>164.5</v>
      </c>
      <c r="AB43" s="32"/>
      <c r="AC43" s="32">
        <v>171.9</v>
      </c>
      <c r="AD43" s="32"/>
      <c r="AE43" s="32">
        <v>171.9</v>
      </c>
      <c r="AF43" s="32"/>
      <c r="AG43" s="32">
        <f t="shared" si="28"/>
        <v>284.5</v>
      </c>
      <c r="AH43" s="32">
        <f t="shared" si="29"/>
        <v>279.9</v>
      </c>
      <c r="AI43" s="32">
        <f t="shared" si="30"/>
        <v>279.9</v>
      </c>
      <c r="AJ43" s="33"/>
      <c r="AK43" s="33">
        <v>220000</v>
      </c>
      <c r="AL43" s="33"/>
      <c r="AM43" s="33">
        <v>220000</v>
      </c>
      <c r="AN43" s="33"/>
      <c r="AO43" s="160">
        <v>220000</v>
      </c>
      <c r="AP43" s="67">
        <f t="shared" si="31"/>
        <v>220000</v>
      </c>
      <c r="AQ43" s="34">
        <f t="shared" si="32"/>
        <v>100</v>
      </c>
      <c r="AR43" s="67">
        <f t="shared" si="33"/>
        <v>220000</v>
      </c>
      <c r="AS43" s="34">
        <f t="shared" si="34"/>
        <v>100</v>
      </c>
      <c r="AT43" s="28">
        <f t="shared" si="35"/>
        <v>108</v>
      </c>
      <c r="AU43" s="28">
        <f t="shared" si="36"/>
        <v>171.9</v>
      </c>
      <c r="AV43" s="28">
        <f t="shared" si="37"/>
        <v>279.9</v>
      </c>
      <c r="AW43" s="24">
        <f t="shared" si="38"/>
        <v>0</v>
      </c>
      <c r="AX43" s="24">
        <f t="shared" si="39"/>
        <v>0</v>
      </c>
      <c r="AY43" s="24">
        <f t="shared" si="40"/>
        <v>0</v>
      </c>
      <c r="AZ43" s="156">
        <f t="shared" si="41"/>
        <v>52272</v>
      </c>
      <c r="BA43" s="35">
        <f t="shared" si="42"/>
        <v>0.2376</v>
      </c>
      <c r="BB43" s="35">
        <f t="shared" si="43"/>
        <v>25.660800000000002</v>
      </c>
      <c r="BC43" s="36">
        <f t="shared" si="44"/>
        <v>40.84344</v>
      </c>
      <c r="BD43" s="36">
        <f t="shared" si="45"/>
        <v>66.50424000000001</v>
      </c>
      <c r="BE43" s="36" t="str">
        <f t="shared" si="46"/>
        <v>yes</v>
      </c>
      <c r="BF43" s="37">
        <f t="shared" si="47"/>
        <v>0.2376</v>
      </c>
      <c r="BG43" s="37">
        <f t="shared" si="48"/>
        <v>25.660800000000002</v>
      </c>
      <c r="BH43" s="36">
        <f t="shared" si="49"/>
        <v>40.84344</v>
      </c>
      <c r="BI43" s="38">
        <f t="shared" si="50"/>
        <v>66.50424000000001</v>
      </c>
      <c r="BJ43" s="1" t="str">
        <f t="shared" si="51"/>
        <v>yes</v>
      </c>
      <c r="BK43" s="37">
        <f t="shared" si="52"/>
        <v>0</v>
      </c>
      <c r="BL43" s="37">
        <f t="shared" si="53"/>
        <v>0</v>
      </c>
      <c r="BM43" s="7">
        <f t="shared" si="54"/>
        <v>0</v>
      </c>
      <c r="BN43" s="7">
        <f t="shared" si="55"/>
        <v>0</v>
      </c>
    </row>
    <row r="44" spans="2:66" ht="18" customHeight="1">
      <c r="B44" s="4" t="s">
        <v>12</v>
      </c>
      <c r="C44" s="4" t="s">
        <v>95</v>
      </c>
      <c r="D44" s="157" t="s">
        <v>191</v>
      </c>
      <c r="E44" s="158" t="s">
        <v>180</v>
      </c>
      <c r="F44" s="79">
        <f t="shared" si="14"/>
        <v>52272</v>
      </c>
      <c r="G44" s="80">
        <f t="shared" si="15"/>
        <v>40</v>
      </c>
      <c r="H44" s="149">
        <f t="shared" si="16"/>
        <v>4</v>
      </c>
      <c r="I44" s="150">
        <f t="shared" si="17"/>
        <v>63.558</v>
      </c>
      <c r="J44" s="83">
        <f t="shared" si="18"/>
        <v>64.12824</v>
      </c>
      <c r="K44" s="84">
        <f t="shared" si="19"/>
        <v>64.12824</v>
      </c>
      <c r="L44" s="151">
        <f t="shared" si="20"/>
        <v>23.2848</v>
      </c>
      <c r="M44" s="152">
        <f t="shared" si="21"/>
        <v>23.2848</v>
      </c>
      <c r="N44" s="188">
        <f t="shared" si="22"/>
        <v>0</v>
      </c>
      <c r="O44" s="153">
        <f t="shared" si="23"/>
        <v>40.84344</v>
      </c>
      <c r="P44" s="154">
        <f t="shared" si="24"/>
        <v>40.84344</v>
      </c>
      <c r="Q44" s="176">
        <f t="shared" si="25"/>
        <v>0</v>
      </c>
      <c r="R44" s="100">
        <f t="shared" si="26"/>
        <v>0</v>
      </c>
      <c r="S44" s="184">
        <f t="shared" si="27"/>
        <v>0</v>
      </c>
      <c r="U44" s="208" t="s">
        <v>95</v>
      </c>
      <c r="V44" s="4" t="s">
        <v>12</v>
      </c>
      <c r="X44" s="32">
        <v>103</v>
      </c>
      <c r="Y44" s="32">
        <v>98</v>
      </c>
      <c r="Z44" s="32">
        <v>98</v>
      </c>
      <c r="AA44" s="32">
        <v>164.5</v>
      </c>
      <c r="AB44" s="32"/>
      <c r="AC44" s="206">
        <v>171.9</v>
      </c>
      <c r="AD44" s="32"/>
      <c r="AE44" s="206">
        <v>171.9</v>
      </c>
      <c r="AF44" s="32"/>
      <c r="AG44" s="32">
        <f t="shared" si="28"/>
        <v>267.5</v>
      </c>
      <c r="AH44" s="32">
        <f t="shared" si="29"/>
        <v>269.9</v>
      </c>
      <c r="AI44" s="32">
        <f t="shared" si="30"/>
        <v>269.9</v>
      </c>
      <c r="AJ44" s="33"/>
      <c r="AK44" s="33">
        <v>220000</v>
      </c>
      <c r="AL44" s="33"/>
      <c r="AM44" s="33">
        <v>220000</v>
      </c>
      <c r="AN44" s="33"/>
      <c r="AO44" s="160">
        <v>220000</v>
      </c>
      <c r="AP44" s="67">
        <f t="shared" si="31"/>
        <v>220000</v>
      </c>
      <c r="AQ44" s="34">
        <f t="shared" si="32"/>
        <v>100</v>
      </c>
      <c r="AR44" s="67">
        <f t="shared" si="33"/>
        <v>220000</v>
      </c>
      <c r="AS44" s="34">
        <f t="shared" si="34"/>
        <v>100</v>
      </c>
      <c r="AT44" s="28">
        <f t="shared" si="35"/>
        <v>98</v>
      </c>
      <c r="AU44" s="28">
        <f t="shared" si="36"/>
        <v>171.9</v>
      </c>
      <c r="AV44" s="28">
        <f t="shared" si="37"/>
        <v>269.9</v>
      </c>
      <c r="AW44" s="24">
        <f t="shared" si="38"/>
        <v>0</v>
      </c>
      <c r="AX44" s="24">
        <f t="shared" si="39"/>
        <v>0</v>
      </c>
      <c r="AY44" s="24">
        <f t="shared" si="40"/>
        <v>0</v>
      </c>
      <c r="AZ44" s="156">
        <f t="shared" si="41"/>
        <v>52272</v>
      </c>
      <c r="BA44" s="35">
        <f t="shared" si="42"/>
        <v>0.2376</v>
      </c>
      <c r="BB44" s="35">
        <f t="shared" si="43"/>
        <v>23.2848</v>
      </c>
      <c r="BC44" s="36">
        <f t="shared" si="44"/>
        <v>40.84344</v>
      </c>
      <c r="BD44" s="36">
        <f t="shared" si="45"/>
        <v>64.12824</v>
      </c>
      <c r="BE44" s="36" t="str">
        <f t="shared" si="46"/>
        <v>yes</v>
      </c>
      <c r="BF44" s="37">
        <f t="shared" si="47"/>
        <v>0.2376</v>
      </c>
      <c r="BG44" s="37">
        <f t="shared" si="48"/>
        <v>23.2848</v>
      </c>
      <c r="BH44" s="36">
        <f t="shared" si="49"/>
        <v>40.84344</v>
      </c>
      <c r="BI44" s="38">
        <f t="shared" si="50"/>
        <v>64.12824</v>
      </c>
      <c r="BJ44" s="1" t="str">
        <f t="shared" si="51"/>
        <v>yes</v>
      </c>
      <c r="BK44" s="37">
        <f t="shared" si="52"/>
        <v>0</v>
      </c>
      <c r="BL44" s="37">
        <f t="shared" si="53"/>
        <v>0</v>
      </c>
      <c r="BM44" s="7">
        <f t="shared" si="54"/>
        <v>0</v>
      </c>
      <c r="BN44" s="7">
        <f t="shared" si="55"/>
        <v>0</v>
      </c>
    </row>
    <row r="45" spans="2:66" ht="18" customHeight="1">
      <c r="B45" s="4" t="s">
        <v>12</v>
      </c>
      <c r="C45" s="4" t="s">
        <v>95</v>
      </c>
      <c r="D45" s="159" t="s">
        <v>191</v>
      </c>
      <c r="E45" s="158" t="s">
        <v>149</v>
      </c>
      <c r="F45" s="79">
        <f t="shared" si="14"/>
        <v>52272</v>
      </c>
      <c r="G45" s="80">
        <f t="shared" si="15"/>
        <v>40</v>
      </c>
      <c r="H45" s="149">
        <f t="shared" si="16"/>
        <v>4</v>
      </c>
      <c r="I45" s="150">
        <f t="shared" si="17"/>
        <v>67.5972</v>
      </c>
      <c r="J45" s="83">
        <f t="shared" si="18"/>
        <v>62.22744</v>
      </c>
      <c r="K45" s="84">
        <f t="shared" si="19"/>
        <v>58.66344</v>
      </c>
      <c r="L45" s="151">
        <f t="shared" si="20"/>
        <v>21.384</v>
      </c>
      <c r="M45" s="152">
        <f t="shared" si="21"/>
        <v>17.82</v>
      </c>
      <c r="N45" s="188">
        <f t="shared" si="22"/>
        <v>-0.16666666666666663</v>
      </c>
      <c r="O45" s="153">
        <f t="shared" si="23"/>
        <v>40.84344</v>
      </c>
      <c r="P45" s="154">
        <f t="shared" si="24"/>
        <v>40.84344</v>
      </c>
      <c r="Q45" s="176">
        <f t="shared" si="25"/>
        <v>0</v>
      </c>
      <c r="R45" s="100">
        <f t="shared" si="26"/>
        <v>-3.564</v>
      </c>
      <c r="S45" s="184">
        <f t="shared" si="27"/>
        <v>-0.0572737686139748</v>
      </c>
      <c r="U45" s="208" t="s">
        <v>95</v>
      </c>
      <c r="V45" s="4" t="s">
        <v>12</v>
      </c>
      <c r="X45" s="162">
        <v>120</v>
      </c>
      <c r="Y45" s="162">
        <v>90</v>
      </c>
      <c r="Z45" s="162">
        <v>75</v>
      </c>
      <c r="AA45" s="31">
        <v>164.5</v>
      </c>
      <c r="AB45" s="31"/>
      <c r="AC45" s="206">
        <v>171.9</v>
      </c>
      <c r="AD45" s="31"/>
      <c r="AE45" s="206">
        <v>171.9</v>
      </c>
      <c r="AF45" s="31"/>
      <c r="AG45" s="32">
        <f t="shared" si="28"/>
        <v>284.5</v>
      </c>
      <c r="AH45" s="32">
        <f t="shared" si="29"/>
        <v>261.9</v>
      </c>
      <c r="AI45" s="32">
        <f t="shared" si="30"/>
        <v>246.9</v>
      </c>
      <c r="AJ45" s="33"/>
      <c r="AK45" s="33">
        <v>220000</v>
      </c>
      <c r="AL45" s="33"/>
      <c r="AM45" s="33">
        <v>220000</v>
      </c>
      <c r="AN45" s="33"/>
      <c r="AO45" s="33">
        <v>220000</v>
      </c>
      <c r="AP45" s="67">
        <f t="shared" si="31"/>
        <v>220000</v>
      </c>
      <c r="AQ45" s="34">
        <f t="shared" si="32"/>
        <v>100</v>
      </c>
      <c r="AR45" s="67">
        <f t="shared" si="33"/>
        <v>220000</v>
      </c>
      <c r="AS45" s="34">
        <f t="shared" si="34"/>
        <v>100</v>
      </c>
      <c r="AT45" s="28">
        <f t="shared" si="35"/>
        <v>90</v>
      </c>
      <c r="AU45" s="28">
        <f t="shared" si="36"/>
        <v>171.9</v>
      </c>
      <c r="AV45" s="28">
        <f t="shared" si="37"/>
        <v>261.9</v>
      </c>
      <c r="AW45" s="24">
        <f t="shared" si="38"/>
        <v>-15</v>
      </c>
      <c r="AX45" s="24">
        <f t="shared" si="39"/>
        <v>0</v>
      </c>
      <c r="AY45" s="24">
        <f t="shared" si="40"/>
        <v>-14.999999999999972</v>
      </c>
      <c r="AZ45" s="156">
        <f t="shared" si="41"/>
        <v>52272</v>
      </c>
      <c r="BA45" s="35">
        <f t="shared" si="42"/>
        <v>0.2376</v>
      </c>
      <c r="BB45" s="35">
        <f t="shared" si="43"/>
        <v>17.82</v>
      </c>
      <c r="BC45" s="36">
        <f t="shared" si="44"/>
        <v>40.84344</v>
      </c>
      <c r="BD45" s="36">
        <f t="shared" si="45"/>
        <v>58.66344</v>
      </c>
      <c r="BE45" s="36" t="str">
        <f t="shared" si="46"/>
        <v>yes</v>
      </c>
      <c r="BF45" s="37">
        <f t="shared" si="47"/>
        <v>0.2376</v>
      </c>
      <c r="BG45" s="37">
        <f t="shared" si="48"/>
        <v>21.384</v>
      </c>
      <c r="BH45" s="36">
        <f t="shared" si="49"/>
        <v>40.84344</v>
      </c>
      <c r="BI45" s="38">
        <f t="shared" si="50"/>
        <v>62.22744</v>
      </c>
      <c r="BJ45" s="1" t="str">
        <f t="shared" si="51"/>
        <v>yes</v>
      </c>
      <c r="BK45" s="37">
        <f t="shared" si="52"/>
        <v>-3.564</v>
      </c>
      <c r="BL45" s="37">
        <f t="shared" si="53"/>
        <v>0</v>
      </c>
      <c r="BM45" s="7">
        <f t="shared" si="54"/>
        <v>-3.564</v>
      </c>
      <c r="BN45" s="7">
        <f t="shared" si="55"/>
        <v>0</v>
      </c>
    </row>
    <row r="46" spans="2:66" ht="18" customHeight="1">
      <c r="B46" s="4" t="s">
        <v>12</v>
      </c>
      <c r="C46" s="29" t="s">
        <v>95</v>
      </c>
      <c r="D46" s="159" t="s">
        <v>191</v>
      </c>
      <c r="E46" s="158" t="s">
        <v>123</v>
      </c>
      <c r="F46" s="79">
        <f t="shared" si="14"/>
        <v>52272</v>
      </c>
      <c r="G46" s="80">
        <f t="shared" si="15"/>
        <v>40</v>
      </c>
      <c r="H46" s="149">
        <f t="shared" si="16"/>
        <v>4</v>
      </c>
      <c r="I46" s="150">
        <f t="shared" si="17"/>
        <v>67.5972</v>
      </c>
      <c r="J46" s="83">
        <f t="shared" si="18"/>
        <v>68.16744</v>
      </c>
      <c r="K46" s="84">
        <f t="shared" si="19"/>
        <v>68.16744</v>
      </c>
      <c r="L46" s="151">
        <f t="shared" si="20"/>
        <v>27.324</v>
      </c>
      <c r="M46" s="152">
        <f t="shared" si="21"/>
        <v>27.324</v>
      </c>
      <c r="N46" s="188">
        <f t="shared" si="22"/>
        <v>0</v>
      </c>
      <c r="O46" s="153">
        <f t="shared" si="23"/>
        <v>40.84344</v>
      </c>
      <c r="P46" s="154">
        <f t="shared" si="24"/>
        <v>40.84344</v>
      </c>
      <c r="Q46" s="176">
        <f t="shared" si="25"/>
        <v>0</v>
      </c>
      <c r="R46" s="100">
        <f t="shared" si="26"/>
        <v>0</v>
      </c>
      <c r="S46" s="184">
        <f t="shared" si="27"/>
        <v>0</v>
      </c>
      <c r="U46" s="207" t="s">
        <v>95</v>
      </c>
      <c r="V46" s="4" t="s">
        <v>12</v>
      </c>
      <c r="X46" s="155">
        <v>120</v>
      </c>
      <c r="Y46" s="155">
        <v>115</v>
      </c>
      <c r="Z46" s="155">
        <v>115</v>
      </c>
      <c r="AA46" s="30">
        <v>164.5</v>
      </c>
      <c r="AB46" s="30"/>
      <c r="AC46" s="30">
        <v>171.9</v>
      </c>
      <c r="AD46" s="30"/>
      <c r="AE46" s="30">
        <v>171.9</v>
      </c>
      <c r="AF46" s="30"/>
      <c r="AG46" s="32">
        <f t="shared" si="28"/>
        <v>284.5</v>
      </c>
      <c r="AH46" s="32">
        <f t="shared" si="29"/>
        <v>286.9</v>
      </c>
      <c r="AI46" s="32">
        <f t="shared" si="30"/>
        <v>286.9</v>
      </c>
      <c r="AJ46" s="23"/>
      <c r="AK46" s="25">
        <v>220000</v>
      </c>
      <c r="AL46" s="23"/>
      <c r="AM46" s="25">
        <v>220000</v>
      </c>
      <c r="AN46" s="23"/>
      <c r="AO46" s="25">
        <v>220000</v>
      </c>
      <c r="AP46" s="67">
        <f t="shared" si="31"/>
        <v>220000</v>
      </c>
      <c r="AQ46" s="34">
        <f t="shared" si="32"/>
        <v>100</v>
      </c>
      <c r="AR46" s="67">
        <f t="shared" si="33"/>
        <v>220000</v>
      </c>
      <c r="AS46" s="34">
        <f t="shared" si="34"/>
        <v>100</v>
      </c>
      <c r="AT46" s="28">
        <f t="shared" si="35"/>
        <v>114.99999999999999</v>
      </c>
      <c r="AU46" s="28">
        <f t="shared" si="36"/>
        <v>171.9</v>
      </c>
      <c r="AV46" s="28">
        <f t="shared" si="37"/>
        <v>286.9</v>
      </c>
      <c r="AW46" s="24">
        <f t="shared" si="38"/>
        <v>1.4210854715202004E-14</v>
      </c>
      <c r="AX46" s="24">
        <f t="shared" si="39"/>
        <v>0</v>
      </c>
      <c r="AY46" s="24">
        <f t="shared" si="40"/>
        <v>0</v>
      </c>
      <c r="AZ46" s="156">
        <f t="shared" si="41"/>
        <v>52272</v>
      </c>
      <c r="BA46" s="35">
        <f t="shared" si="42"/>
        <v>0.2376</v>
      </c>
      <c r="BB46" s="35">
        <f t="shared" si="43"/>
        <v>27.324</v>
      </c>
      <c r="BC46" s="36">
        <f t="shared" si="44"/>
        <v>40.84344</v>
      </c>
      <c r="BD46" s="36">
        <f t="shared" si="45"/>
        <v>68.16744</v>
      </c>
      <c r="BE46" s="36" t="str">
        <f t="shared" si="46"/>
        <v>yes</v>
      </c>
      <c r="BF46" s="37">
        <f t="shared" si="47"/>
        <v>0.2376</v>
      </c>
      <c r="BG46" s="37">
        <f t="shared" si="48"/>
        <v>27.324</v>
      </c>
      <c r="BH46" s="36">
        <f t="shared" si="49"/>
        <v>40.84344</v>
      </c>
      <c r="BI46" s="38">
        <f t="shared" si="50"/>
        <v>68.16744</v>
      </c>
      <c r="BJ46" s="1" t="str">
        <f t="shared" si="51"/>
        <v>yes</v>
      </c>
      <c r="BK46" s="37">
        <f t="shared" si="52"/>
        <v>0</v>
      </c>
      <c r="BL46" s="37">
        <f t="shared" si="53"/>
        <v>0</v>
      </c>
      <c r="BM46" s="7">
        <f t="shared" si="54"/>
        <v>0</v>
      </c>
      <c r="BN46" s="7">
        <f t="shared" si="55"/>
        <v>0</v>
      </c>
    </row>
    <row r="47" spans="2:66" ht="18" customHeight="1">
      <c r="B47" s="4" t="s">
        <v>12</v>
      </c>
      <c r="C47" s="29" t="s">
        <v>95</v>
      </c>
      <c r="D47" s="159" t="s">
        <v>191</v>
      </c>
      <c r="E47" s="158" t="s">
        <v>122</v>
      </c>
      <c r="F47" s="79">
        <f t="shared" si="14"/>
        <v>52272</v>
      </c>
      <c r="G47" s="80">
        <f t="shared" si="15"/>
        <v>40</v>
      </c>
      <c r="H47" s="149">
        <f t="shared" si="16"/>
        <v>4</v>
      </c>
      <c r="I47" s="150">
        <f t="shared" si="17"/>
        <v>67.5972</v>
      </c>
      <c r="J47" s="83">
        <f t="shared" si="18"/>
        <v>68.16744</v>
      </c>
      <c r="K47" s="84">
        <f t="shared" si="19"/>
        <v>68.16744</v>
      </c>
      <c r="L47" s="151">
        <f t="shared" si="20"/>
        <v>27.324</v>
      </c>
      <c r="M47" s="152">
        <f t="shared" si="21"/>
        <v>27.324</v>
      </c>
      <c r="N47" s="188">
        <f t="shared" si="22"/>
        <v>0</v>
      </c>
      <c r="O47" s="153">
        <f t="shared" si="23"/>
        <v>40.84344</v>
      </c>
      <c r="P47" s="154">
        <f t="shared" si="24"/>
        <v>40.84344</v>
      </c>
      <c r="Q47" s="176">
        <f t="shared" si="25"/>
        <v>0</v>
      </c>
      <c r="R47" s="100">
        <f t="shared" si="26"/>
        <v>0</v>
      </c>
      <c r="S47" s="184">
        <f t="shared" si="27"/>
        <v>0</v>
      </c>
      <c r="U47" s="207" t="s">
        <v>95</v>
      </c>
      <c r="V47" s="4" t="s">
        <v>12</v>
      </c>
      <c r="X47" s="155">
        <v>120</v>
      </c>
      <c r="Y47" s="155">
        <v>115</v>
      </c>
      <c r="Z47" s="155">
        <v>115</v>
      </c>
      <c r="AA47" s="30">
        <v>164.5</v>
      </c>
      <c r="AB47" s="30"/>
      <c r="AC47" s="206">
        <v>171.9</v>
      </c>
      <c r="AD47" s="30"/>
      <c r="AE47" s="206">
        <v>171.9</v>
      </c>
      <c r="AF47" s="30"/>
      <c r="AG47" s="32">
        <f t="shared" si="28"/>
        <v>284.5</v>
      </c>
      <c r="AH47" s="32">
        <f t="shared" si="29"/>
        <v>286.9</v>
      </c>
      <c r="AI47" s="32">
        <f t="shared" si="30"/>
        <v>286.9</v>
      </c>
      <c r="AJ47" s="23"/>
      <c r="AK47" s="25">
        <v>220000</v>
      </c>
      <c r="AL47" s="23"/>
      <c r="AM47" s="25">
        <v>220000</v>
      </c>
      <c r="AN47" s="23"/>
      <c r="AO47" s="25">
        <v>220000</v>
      </c>
      <c r="AP47" s="67">
        <f t="shared" si="31"/>
        <v>220000</v>
      </c>
      <c r="AQ47" s="34">
        <f t="shared" si="32"/>
        <v>100</v>
      </c>
      <c r="AR47" s="67">
        <f t="shared" si="33"/>
        <v>220000</v>
      </c>
      <c r="AS47" s="34">
        <f t="shared" si="34"/>
        <v>100</v>
      </c>
      <c r="AT47" s="28">
        <f t="shared" si="35"/>
        <v>114.99999999999999</v>
      </c>
      <c r="AU47" s="28">
        <f t="shared" si="36"/>
        <v>171.9</v>
      </c>
      <c r="AV47" s="28">
        <f t="shared" si="37"/>
        <v>286.9</v>
      </c>
      <c r="AW47" s="24">
        <f t="shared" si="38"/>
        <v>1.4210854715202004E-14</v>
      </c>
      <c r="AX47" s="24">
        <f t="shared" si="39"/>
        <v>0</v>
      </c>
      <c r="AY47" s="24">
        <f t="shared" si="40"/>
        <v>0</v>
      </c>
      <c r="AZ47" s="156">
        <f t="shared" si="41"/>
        <v>52272</v>
      </c>
      <c r="BA47" s="35">
        <f t="shared" si="42"/>
        <v>0.2376</v>
      </c>
      <c r="BB47" s="35">
        <f t="shared" si="43"/>
        <v>27.324</v>
      </c>
      <c r="BC47" s="36">
        <f t="shared" si="44"/>
        <v>40.84344</v>
      </c>
      <c r="BD47" s="36">
        <f t="shared" si="45"/>
        <v>68.16744</v>
      </c>
      <c r="BE47" s="36" t="str">
        <f t="shared" si="46"/>
        <v>yes</v>
      </c>
      <c r="BF47" s="37">
        <f t="shared" si="47"/>
        <v>0.2376</v>
      </c>
      <c r="BG47" s="37">
        <f t="shared" si="48"/>
        <v>27.324</v>
      </c>
      <c r="BH47" s="36">
        <f t="shared" si="49"/>
        <v>40.84344</v>
      </c>
      <c r="BI47" s="38">
        <f t="shared" si="50"/>
        <v>68.16744</v>
      </c>
      <c r="BJ47" s="1" t="str">
        <f t="shared" si="51"/>
        <v>yes</v>
      </c>
      <c r="BK47" s="37">
        <f t="shared" si="52"/>
        <v>0</v>
      </c>
      <c r="BL47" s="37">
        <f t="shared" si="53"/>
        <v>0</v>
      </c>
      <c r="BM47" s="7">
        <f t="shared" si="54"/>
        <v>0</v>
      </c>
      <c r="BN47" s="7">
        <f t="shared" si="55"/>
        <v>0</v>
      </c>
    </row>
    <row r="48" spans="2:66" ht="18" customHeight="1">
      <c r="B48" s="4" t="s">
        <v>12</v>
      </c>
      <c r="C48" s="29" t="s">
        <v>95</v>
      </c>
      <c r="D48" s="157" t="s">
        <v>69</v>
      </c>
      <c r="E48" s="158" t="s">
        <v>72</v>
      </c>
      <c r="F48" s="79">
        <f t="shared" si="14"/>
        <v>52272</v>
      </c>
      <c r="G48" s="80">
        <f t="shared" si="15"/>
        <v>40</v>
      </c>
      <c r="H48" s="149">
        <f t="shared" si="16"/>
        <v>4</v>
      </c>
      <c r="I48" s="150">
        <f t="shared" si="17"/>
        <v>68.15814260869564</v>
      </c>
      <c r="J48" s="83">
        <f t="shared" si="18"/>
        <v>65.40818086956523</v>
      </c>
      <c r="K48" s="84">
        <f t="shared" si="19"/>
        <v>65.40818086956523</v>
      </c>
      <c r="L48" s="151">
        <f t="shared" si="20"/>
        <v>24.545113043478263</v>
      </c>
      <c r="M48" s="152">
        <f t="shared" si="21"/>
        <v>24.545113043478263</v>
      </c>
      <c r="N48" s="188">
        <f t="shared" si="22"/>
        <v>0</v>
      </c>
      <c r="O48" s="153">
        <f t="shared" si="23"/>
        <v>40.86306782608696</v>
      </c>
      <c r="P48" s="154">
        <f t="shared" si="24"/>
        <v>40.86306782608696</v>
      </c>
      <c r="Q48" s="176">
        <f t="shared" si="25"/>
        <v>0</v>
      </c>
      <c r="R48" s="100">
        <f t="shared" si="26"/>
        <v>0</v>
      </c>
      <c r="S48" s="184">
        <f t="shared" si="27"/>
        <v>0</v>
      </c>
      <c r="U48" s="207" t="s">
        <v>95</v>
      </c>
      <c r="V48" s="4" t="s">
        <v>12</v>
      </c>
      <c r="X48" s="155">
        <v>128</v>
      </c>
      <c r="Y48" s="155">
        <v>108</v>
      </c>
      <c r="Z48" s="155">
        <v>108</v>
      </c>
      <c r="AA48" s="32">
        <v>171.9</v>
      </c>
      <c r="AB48" s="155"/>
      <c r="AC48" s="32">
        <v>179.8</v>
      </c>
      <c r="AD48" s="155"/>
      <c r="AE48" s="32">
        <v>179.8</v>
      </c>
      <c r="AF48" s="155"/>
      <c r="AG48" s="32">
        <f t="shared" si="28"/>
        <v>299.9</v>
      </c>
      <c r="AH48" s="32">
        <f t="shared" si="29"/>
        <v>287.8</v>
      </c>
      <c r="AI48" s="32">
        <f t="shared" si="30"/>
        <v>287.8</v>
      </c>
      <c r="AJ48" s="23"/>
      <c r="AK48" s="33">
        <v>230000</v>
      </c>
      <c r="AL48" s="23"/>
      <c r="AM48" s="33">
        <v>230000</v>
      </c>
      <c r="AN48" s="23"/>
      <c r="AO48" s="33">
        <v>230000</v>
      </c>
      <c r="AP48" s="67">
        <f t="shared" si="31"/>
        <v>230000</v>
      </c>
      <c r="AQ48" s="34">
        <f t="shared" si="32"/>
        <v>100</v>
      </c>
      <c r="AR48" s="67">
        <f t="shared" si="33"/>
        <v>230000</v>
      </c>
      <c r="AS48" s="34">
        <f t="shared" si="34"/>
        <v>100</v>
      </c>
      <c r="AT48" s="28">
        <f t="shared" si="35"/>
        <v>108</v>
      </c>
      <c r="AU48" s="28">
        <f t="shared" si="36"/>
        <v>179.8</v>
      </c>
      <c r="AV48" s="28">
        <f t="shared" si="37"/>
        <v>287.8</v>
      </c>
      <c r="AW48" s="24">
        <f t="shared" si="38"/>
        <v>0</v>
      </c>
      <c r="AX48" s="24">
        <f t="shared" si="39"/>
        <v>0</v>
      </c>
      <c r="AY48" s="24">
        <f t="shared" si="40"/>
        <v>0</v>
      </c>
      <c r="AZ48" s="156">
        <f t="shared" si="41"/>
        <v>52272</v>
      </c>
      <c r="BA48" s="35">
        <f t="shared" si="42"/>
        <v>0.2272695652173913</v>
      </c>
      <c r="BB48" s="35">
        <f t="shared" si="43"/>
        <v>24.545113043478263</v>
      </c>
      <c r="BC48" s="36">
        <f t="shared" si="44"/>
        <v>40.86306782608696</v>
      </c>
      <c r="BD48" s="36">
        <f t="shared" si="45"/>
        <v>65.40818086956523</v>
      </c>
      <c r="BE48" s="36" t="str">
        <f t="shared" si="46"/>
        <v>yes</v>
      </c>
      <c r="BF48" s="37">
        <f t="shared" si="47"/>
        <v>0.2272695652173913</v>
      </c>
      <c r="BG48" s="37">
        <f t="shared" si="48"/>
        <v>24.545113043478263</v>
      </c>
      <c r="BH48" s="36">
        <f t="shared" si="49"/>
        <v>40.86306782608696</v>
      </c>
      <c r="BI48" s="38">
        <f t="shared" si="50"/>
        <v>65.40818086956523</v>
      </c>
      <c r="BJ48" s="1" t="str">
        <f t="shared" si="51"/>
        <v>yes</v>
      </c>
      <c r="BK48" s="37">
        <f t="shared" si="52"/>
        <v>0</v>
      </c>
      <c r="BL48" s="37">
        <f t="shared" si="53"/>
        <v>0</v>
      </c>
      <c r="BM48" s="7">
        <f t="shared" si="54"/>
        <v>0</v>
      </c>
      <c r="BN48" s="7">
        <f t="shared" si="55"/>
        <v>0</v>
      </c>
    </row>
    <row r="49" spans="2:66" ht="18" customHeight="1">
      <c r="B49" s="4" t="s">
        <v>12</v>
      </c>
      <c r="C49" s="4" t="s">
        <v>95</v>
      </c>
      <c r="D49" s="157" t="s">
        <v>69</v>
      </c>
      <c r="E49" s="158" t="s">
        <v>73</v>
      </c>
      <c r="F49" s="79">
        <f t="shared" si="14"/>
        <v>52272</v>
      </c>
      <c r="G49" s="80">
        <f t="shared" si="15"/>
        <v>40</v>
      </c>
      <c r="H49" s="149">
        <f t="shared" si="16"/>
        <v>4</v>
      </c>
      <c r="I49" s="150">
        <f t="shared" si="17"/>
        <v>68.15814260869564</v>
      </c>
      <c r="J49" s="83">
        <f t="shared" si="18"/>
        <v>65.40818086956523</v>
      </c>
      <c r="K49" s="84">
        <f t="shared" si="19"/>
        <v>65.40818086956523</v>
      </c>
      <c r="L49" s="151">
        <f t="shared" si="20"/>
        <v>24.545113043478263</v>
      </c>
      <c r="M49" s="152">
        <f t="shared" si="21"/>
        <v>24.545113043478263</v>
      </c>
      <c r="N49" s="188">
        <f t="shared" si="22"/>
        <v>0</v>
      </c>
      <c r="O49" s="153">
        <f t="shared" si="23"/>
        <v>40.86306782608696</v>
      </c>
      <c r="P49" s="154">
        <f t="shared" si="24"/>
        <v>40.86306782608696</v>
      </c>
      <c r="Q49" s="176">
        <f t="shared" si="25"/>
        <v>0</v>
      </c>
      <c r="R49" s="100">
        <f t="shared" si="26"/>
        <v>0</v>
      </c>
      <c r="S49" s="184">
        <f t="shared" si="27"/>
        <v>0</v>
      </c>
      <c r="U49" s="208" t="s">
        <v>95</v>
      </c>
      <c r="V49" s="4" t="s">
        <v>12</v>
      </c>
      <c r="X49" s="32">
        <v>128</v>
      </c>
      <c r="Y49" s="32">
        <v>108</v>
      </c>
      <c r="Z49" s="32">
        <v>108</v>
      </c>
      <c r="AA49" s="32">
        <v>171.9</v>
      </c>
      <c r="AB49" s="32"/>
      <c r="AC49" s="32">
        <v>179.8</v>
      </c>
      <c r="AD49" s="32"/>
      <c r="AE49" s="32">
        <v>179.8</v>
      </c>
      <c r="AF49" s="32"/>
      <c r="AG49" s="32">
        <f t="shared" si="28"/>
        <v>299.9</v>
      </c>
      <c r="AH49" s="32">
        <f t="shared" si="29"/>
        <v>287.8</v>
      </c>
      <c r="AI49" s="32">
        <f t="shared" si="30"/>
        <v>287.8</v>
      </c>
      <c r="AJ49" s="33"/>
      <c r="AK49" s="33">
        <v>230000</v>
      </c>
      <c r="AL49" s="33"/>
      <c r="AM49" s="33">
        <v>230000</v>
      </c>
      <c r="AN49" s="33"/>
      <c r="AO49" s="33">
        <v>230000</v>
      </c>
      <c r="AP49" s="67">
        <f t="shared" si="31"/>
        <v>230000</v>
      </c>
      <c r="AQ49" s="34">
        <f t="shared" si="32"/>
        <v>100</v>
      </c>
      <c r="AR49" s="67">
        <f t="shared" si="33"/>
        <v>230000</v>
      </c>
      <c r="AS49" s="34">
        <f t="shared" si="34"/>
        <v>100</v>
      </c>
      <c r="AT49" s="28">
        <f t="shared" si="35"/>
        <v>108</v>
      </c>
      <c r="AU49" s="28">
        <f t="shared" si="36"/>
        <v>179.8</v>
      </c>
      <c r="AV49" s="28">
        <f t="shared" si="37"/>
        <v>287.8</v>
      </c>
      <c r="AW49" s="24">
        <f t="shared" si="38"/>
        <v>0</v>
      </c>
      <c r="AX49" s="24">
        <f t="shared" si="39"/>
        <v>0</v>
      </c>
      <c r="AY49" s="24">
        <f t="shared" si="40"/>
        <v>0</v>
      </c>
      <c r="AZ49" s="156">
        <f t="shared" si="41"/>
        <v>52272</v>
      </c>
      <c r="BA49" s="35">
        <f t="shared" si="42"/>
        <v>0.2272695652173913</v>
      </c>
      <c r="BB49" s="35">
        <f t="shared" si="43"/>
        <v>24.545113043478263</v>
      </c>
      <c r="BC49" s="36">
        <f t="shared" si="44"/>
        <v>40.86306782608696</v>
      </c>
      <c r="BD49" s="36">
        <f t="shared" si="45"/>
        <v>65.40818086956523</v>
      </c>
      <c r="BE49" s="36" t="str">
        <f t="shared" si="46"/>
        <v>yes</v>
      </c>
      <c r="BF49" s="37">
        <f t="shared" si="47"/>
        <v>0.2272695652173913</v>
      </c>
      <c r="BG49" s="37">
        <f t="shared" si="48"/>
        <v>24.545113043478263</v>
      </c>
      <c r="BH49" s="36">
        <f t="shared" si="49"/>
        <v>40.86306782608696</v>
      </c>
      <c r="BI49" s="38">
        <f t="shared" si="50"/>
        <v>65.40818086956523</v>
      </c>
      <c r="BJ49" s="1" t="str">
        <f t="shared" si="51"/>
        <v>yes</v>
      </c>
      <c r="BK49" s="37">
        <f t="shared" si="52"/>
        <v>0</v>
      </c>
      <c r="BL49" s="37">
        <f t="shared" si="53"/>
        <v>0</v>
      </c>
      <c r="BM49" s="7">
        <f t="shared" si="54"/>
        <v>0</v>
      </c>
      <c r="BN49" s="7">
        <f t="shared" si="55"/>
        <v>0</v>
      </c>
    </row>
    <row r="50" spans="2:66" ht="18" customHeight="1">
      <c r="B50" s="4" t="s">
        <v>12</v>
      </c>
      <c r="C50" s="4" t="s">
        <v>95</v>
      </c>
      <c r="D50" s="157" t="s">
        <v>69</v>
      </c>
      <c r="E50" s="158" t="s">
        <v>17</v>
      </c>
      <c r="F50" s="79">
        <f t="shared" si="14"/>
        <v>52272</v>
      </c>
      <c r="G50" s="80">
        <f t="shared" si="15"/>
        <v>40</v>
      </c>
      <c r="H50" s="149">
        <f t="shared" si="16"/>
        <v>4</v>
      </c>
      <c r="I50" s="150">
        <f t="shared" si="17"/>
        <v>68.15814260869564</v>
      </c>
      <c r="J50" s="83">
        <f t="shared" si="18"/>
        <v>69.95357217391305</v>
      </c>
      <c r="K50" s="84">
        <f t="shared" si="19"/>
        <v>69.95357217391305</v>
      </c>
      <c r="L50" s="151">
        <f t="shared" si="20"/>
        <v>29.09050434782609</v>
      </c>
      <c r="M50" s="152">
        <f t="shared" si="21"/>
        <v>29.09050434782609</v>
      </c>
      <c r="N50" s="188">
        <f t="shared" si="22"/>
        <v>0</v>
      </c>
      <c r="O50" s="153">
        <f t="shared" si="23"/>
        <v>40.86306782608696</v>
      </c>
      <c r="P50" s="154">
        <f t="shared" si="24"/>
        <v>40.86306782608696</v>
      </c>
      <c r="Q50" s="176">
        <f t="shared" si="25"/>
        <v>0</v>
      </c>
      <c r="R50" s="100">
        <f t="shared" si="26"/>
        <v>0</v>
      </c>
      <c r="S50" s="184">
        <f t="shared" si="27"/>
        <v>0</v>
      </c>
      <c r="U50" s="208" t="s">
        <v>95</v>
      </c>
      <c r="V50" s="4" t="s">
        <v>12</v>
      </c>
      <c r="X50" s="32">
        <v>128</v>
      </c>
      <c r="Y50" s="32">
        <v>128</v>
      </c>
      <c r="Z50" s="32">
        <v>128</v>
      </c>
      <c r="AA50" s="32">
        <v>171.9</v>
      </c>
      <c r="AB50" s="32"/>
      <c r="AC50" s="32">
        <v>179.8</v>
      </c>
      <c r="AD50" s="32"/>
      <c r="AE50" s="32">
        <v>179.8</v>
      </c>
      <c r="AF50" s="32"/>
      <c r="AG50" s="32">
        <f t="shared" si="28"/>
        <v>299.9</v>
      </c>
      <c r="AH50" s="32">
        <f t="shared" si="29"/>
        <v>307.8</v>
      </c>
      <c r="AI50" s="32">
        <f t="shared" si="30"/>
        <v>307.8</v>
      </c>
      <c r="AJ50" s="33"/>
      <c r="AK50" s="33">
        <v>230000</v>
      </c>
      <c r="AL50" s="33"/>
      <c r="AM50" s="33">
        <v>230000</v>
      </c>
      <c r="AN50" s="33"/>
      <c r="AO50" s="33">
        <v>230000</v>
      </c>
      <c r="AP50" s="67">
        <f t="shared" si="31"/>
        <v>230000</v>
      </c>
      <c r="AQ50" s="34">
        <f t="shared" si="32"/>
        <v>100</v>
      </c>
      <c r="AR50" s="67">
        <f t="shared" si="33"/>
        <v>230000</v>
      </c>
      <c r="AS50" s="34">
        <f t="shared" si="34"/>
        <v>100</v>
      </c>
      <c r="AT50" s="28">
        <f t="shared" si="35"/>
        <v>128</v>
      </c>
      <c r="AU50" s="28">
        <f t="shared" si="36"/>
        <v>179.8</v>
      </c>
      <c r="AV50" s="28">
        <f t="shared" si="37"/>
        <v>307.8</v>
      </c>
      <c r="AW50" s="24">
        <f t="shared" si="38"/>
        <v>0</v>
      </c>
      <c r="AX50" s="24">
        <f t="shared" si="39"/>
        <v>0</v>
      </c>
      <c r="AY50" s="24">
        <f t="shared" si="40"/>
        <v>0</v>
      </c>
      <c r="AZ50" s="156">
        <f t="shared" si="41"/>
        <v>52272</v>
      </c>
      <c r="BA50" s="35">
        <f t="shared" si="42"/>
        <v>0.2272695652173913</v>
      </c>
      <c r="BB50" s="35">
        <f t="shared" si="43"/>
        <v>29.09050434782609</v>
      </c>
      <c r="BC50" s="36">
        <f t="shared" si="44"/>
        <v>40.86306782608696</v>
      </c>
      <c r="BD50" s="36">
        <f t="shared" si="45"/>
        <v>69.95357217391305</v>
      </c>
      <c r="BE50" s="36" t="str">
        <f t="shared" si="46"/>
        <v>yes</v>
      </c>
      <c r="BF50" s="37">
        <f t="shared" si="47"/>
        <v>0.2272695652173913</v>
      </c>
      <c r="BG50" s="37">
        <f t="shared" si="48"/>
        <v>29.09050434782609</v>
      </c>
      <c r="BH50" s="36">
        <f t="shared" si="49"/>
        <v>40.86306782608696</v>
      </c>
      <c r="BI50" s="38">
        <f t="shared" si="50"/>
        <v>69.95357217391305</v>
      </c>
      <c r="BJ50" s="1" t="str">
        <f t="shared" si="51"/>
        <v>yes</v>
      </c>
      <c r="BK50" s="37">
        <f t="shared" si="52"/>
        <v>0</v>
      </c>
      <c r="BL50" s="37">
        <f t="shared" si="53"/>
        <v>0</v>
      </c>
      <c r="BM50" s="7">
        <f t="shared" si="54"/>
        <v>0</v>
      </c>
      <c r="BN50" s="7">
        <f t="shared" si="55"/>
        <v>0</v>
      </c>
    </row>
    <row r="51" spans="2:66" ht="18" customHeight="1">
      <c r="B51" s="4" t="s">
        <v>12</v>
      </c>
      <c r="C51" s="4" t="s">
        <v>95</v>
      </c>
      <c r="D51" s="157" t="s">
        <v>69</v>
      </c>
      <c r="E51" s="191" t="s">
        <v>7</v>
      </c>
      <c r="F51" s="79">
        <f t="shared" si="14"/>
        <v>52272</v>
      </c>
      <c r="G51" s="80">
        <f t="shared" si="15"/>
        <v>40</v>
      </c>
      <c r="H51" s="149">
        <f t="shared" si="16"/>
        <v>4</v>
      </c>
      <c r="I51" s="150">
        <f t="shared" si="17"/>
        <v>68.15814260869564</v>
      </c>
      <c r="J51" s="83">
        <f t="shared" si="18"/>
        <v>65.40818086956523</v>
      </c>
      <c r="K51" s="84">
        <f t="shared" si="19"/>
        <v>65.40818086956523</v>
      </c>
      <c r="L51" s="151">
        <f t="shared" si="20"/>
        <v>24.545113043478263</v>
      </c>
      <c r="M51" s="152">
        <f t="shared" si="21"/>
        <v>24.545113043478263</v>
      </c>
      <c r="N51" s="188">
        <f t="shared" si="22"/>
        <v>0</v>
      </c>
      <c r="O51" s="153">
        <f t="shared" si="23"/>
        <v>40.86306782608696</v>
      </c>
      <c r="P51" s="154">
        <f t="shared" si="24"/>
        <v>40.86306782608696</v>
      </c>
      <c r="Q51" s="176">
        <f t="shared" si="25"/>
        <v>0</v>
      </c>
      <c r="R51" s="100">
        <f t="shared" si="26"/>
        <v>0</v>
      </c>
      <c r="S51" s="184">
        <f t="shared" si="27"/>
        <v>0</v>
      </c>
      <c r="U51" s="208" t="s">
        <v>95</v>
      </c>
      <c r="V51" s="4" t="s">
        <v>12</v>
      </c>
      <c r="X51" s="32">
        <v>128</v>
      </c>
      <c r="Y51" s="32">
        <v>108</v>
      </c>
      <c r="Z51" s="32">
        <v>108</v>
      </c>
      <c r="AA51" s="32">
        <v>171.9</v>
      </c>
      <c r="AB51" s="32"/>
      <c r="AC51" s="32">
        <v>179.8</v>
      </c>
      <c r="AD51" s="32"/>
      <c r="AE51" s="32">
        <v>179.8</v>
      </c>
      <c r="AF51" s="32"/>
      <c r="AG51" s="32">
        <f t="shared" si="28"/>
        <v>299.9</v>
      </c>
      <c r="AH51" s="32">
        <f t="shared" si="29"/>
        <v>287.8</v>
      </c>
      <c r="AI51" s="32">
        <f t="shared" si="30"/>
        <v>287.8</v>
      </c>
      <c r="AJ51" s="33"/>
      <c r="AK51" s="33">
        <v>230000</v>
      </c>
      <c r="AL51" s="33"/>
      <c r="AM51" s="33">
        <v>230000</v>
      </c>
      <c r="AN51" s="33"/>
      <c r="AO51" s="33">
        <v>230000</v>
      </c>
      <c r="AP51" s="67">
        <f t="shared" si="31"/>
        <v>230000</v>
      </c>
      <c r="AQ51" s="34">
        <f t="shared" si="32"/>
        <v>100</v>
      </c>
      <c r="AR51" s="67">
        <f t="shared" si="33"/>
        <v>230000</v>
      </c>
      <c r="AS51" s="34">
        <f t="shared" si="34"/>
        <v>100</v>
      </c>
      <c r="AT51" s="28">
        <f t="shared" si="35"/>
        <v>108</v>
      </c>
      <c r="AU51" s="28">
        <f t="shared" si="36"/>
        <v>179.8</v>
      </c>
      <c r="AV51" s="28">
        <f t="shared" si="37"/>
        <v>287.8</v>
      </c>
      <c r="AW51" s="24">
        <f t="shared" si="38"/>
        <v>0</v>
      </c>
      <c r="AX51" s="24">
        <f t="shared" si="39"/>
        <v>0</v>
      </c>
      <c r="AY51" s="24">
        <f t="shared" si="40"/>
        <v>0</v>
      </c>
      <c r="AZ51" s="156">
        <f t="shared" si="41"/>
        <v>52272</v>
      </c>
      <c r="BA51" s="35">
        <f t="shared" si="42"/>
        <v>0.2272695652173913</v>
      </c>
      <c r="BB51" s="35">
        <f t="shared" si="43"/>
        <v>24.545113043478263</v>
      </c>
      <c r="BC51" s="36">
        <f t="shared" si="44"/>
        <v>40.86306782608696</v>
      </c>
      <c r="BD51" s="36">
        <f t="shared" si="45"/>
        <v>65.40818086956523</v>
      </c>
      <c r="BE51" s="36" t="str">
        <f t="shared" si="46"/>
        <v>yes</v>
      </c>
      <c r="BF51" s="37">
        <f t="shared" si="47"/>
        <v>0.2272695652173913</v>
      </c>
      <c r="BG51" s="37">
        <f t="shared" si="48"/>
        <v>24.545113043478263</v>
      </c>
      <c r="BH51" s="36">
        <f t="shared" si="49"/>
        <v>40.86306782608696</v>
      </c>
      <c r="BI51" s="38">
        <f t="shared" si="50"/>
        <v>65.40818086956523</v>
      </c>
      <c r="BJ51" s="1" t="str">
        <f t="shared" si="51"/>
        <v>yes</v>
      </c>
      <c r="BK51" s="37">
        <f t="shared" si="52"/>
        <v>0</v>
      </c>
      <c r="BL51" s="37">
        <f t="shared" si="53"/>
        <v>0</v>
      </c>
      <c r="BM51" s="7">
        <f t="shared" si="54"/>
        <v>0</v>
      </c>
      <c r="BN51" s="7">
        <f t="shared" si="55"/>
        <v>0</v>
      </c>
    </row>
    <row r="52" spans="2:66" ht="18" customHeight="1">
      <c r="B52" s="4" t="s">
        <v>12</v>
      </c>
      <c r="C52" s="4" t="s">
        <v>95</v>
      </c>
      <c r="D52" s="157" t="s">
        <v>69</v>
      </c>
      <c r="E52" s="191" t="s">
        <v>8</v>
      </c>
      <c r="F52" s="79">
        <f t="shared" si="14"/>
        <v>52272</v>
      </c>
      <c r="G52" s="80">
        <f t="shared" si="15"/>
        <v>40</v>
      </c>
      <c r="H52" s="149">
        <f t="shared" si="16"/>
        <v>4</v>
      </c>
      <c r="I52" s="150">
        <f t="shared" si="17"/>
        <v>68.15814260869564</v>
      </c>
      <c r="J52" s="83">
        <f t="shared" si="18"/>
        <v>65.40818086956523</v>
      </c>
      <c r="K52" s="84">
        <f t="shared" si="19"/>
        <v>65.40818086956523</v>
      </c>
      <c r="L52" s="151">
        <f t="shared" si="20"/>
        <v>24.545113043478263</v>
      </c>
      <c r="M52" s="152">
        <f t="shared" si="21"/>
        <v>24.545113043478263</v>
      </c>
      <c r="N52" s="188">
        <f t="shared" si="22"/>
        <v>0</v>
      </c>
      <c r="O52" s="153">
        <f t="shared" si="23"/>
        <v>40.86306782608696</v>
      </c>
      <c r="P52" s="154">
        <f t="shared" si="24"/>
        <v>40.86306782608696</v>
      </c>
      <c r="Q52" s="176">
        <f t="shared" si="25"/>
        <v>0</v>
      </c>
      <c r="R52" s="100">
        <f t="shared" si="26"/>
        <v>0</v>
      </c>
      <c r="S52" s="184">
        <f t="shared" si="27"/>
        <v>0</v>
      </c>
      <c r="U52" s="208" t="s">
        <v>95</v>
      </c>
      <c r="V52" s="4" t="s">
        <v>12</v>
      </c>
      <c r="X52" s="32">
        <v>128</v>
      </c>
      <c r="Y52" s="32">
        <v>108</v>
      </c>
      <c r="Z52" s="32">
        <v>108</v>
      </c>
      <c r="AA52" s="32">
        <v>171.9</v>
      </c>
      <c r="AB52" s="32"/>
      <c r="AC52" s="32">
        <v>179.8</v>
      </c>
      <c r="AD52" s="32"/>
      <c r="AE52" s="32">
        <v>179.8</v>
      </c>
      <c r="AF52" s="32"/>
      <c r="AG52" s="32">
        <f t="shared" si="28"/>
        <v>299.9</v>
      </c>
      <c r="AH52" s="32">
        <f t="shared" si="29"/>
        <v>287.8</v>
      </c>
      <c r="AI52" s="32">
        <f t="shared" si="30"/>
        <v>287.8</v>
      </c>
      <c r="AJ52" s="33"/>
      <c r="AK52" s="33">
        <v>230000</v>
      </c>
      <c r="AL52" s="33"/>
      <c r="AM52" s="33">
        <v>230000</v>
      </c>
      <c r="AN52" s="33"/>
      <c r="AO52" s="33">
        <v>230000</v>
      </c>
      <c r="AP52" s="67">
        <f t="shared" si="31"/>
        <v>230000</v>
      </c>
      <c r="AQ52" s="34">
        <f t="shared" si="32"/>
        <v>100</v>
      </c>
      <c r="AR52" s="67">
        <f t="shared" si="33"/>
        <v>230000</v>
      </c>
      <c r="AS52" s="34">
        <f t="shared" si="34"/>
        <v>100</v>
      </c>
      <c r="AT52" s="28">
        <f t="shared" si="35"/>
        <v>108</v>
      </c>
      <c r="AU52" s="28">
        <f t="shared" si="36"/>
        <v>179.8</v>
      </c>
      <c r="AV52" s="28">
        <f t="shared" si="37"/>
        <v>287.8</v>
      </c>
      <c r="AW52" s="24">
        <f t="shared" si="38"/>
        <v>0</v>
      </c>
      <c r="AX52" s="24">
        <f t="shared" si="39"/>
        <v>0</v>
      </c>
      <c r="AY52" s="24">
        <f t="shared" si="40"/>
        <v>0</v>
      </c>
      <c r="AZ52" s="156">
        <f t="shared" si="41"/>
        <v>52272</v>
      </c>
      <c r="BA52" s="35">
        <f t="shared" si="42"/>
        <v>0.2272695652173913</v>
      </c>
      <c r="BB52" s="35">
        <f t="shared" si="43"/>
        <v>24.545113043478263</v>
      </c>
      <c r="BC52" s="36">
        <f t="shared" si="44"/>
        <v>40.86306782608696</v>
      </c>
      <c r="BD52" s="36">
        <f t="shared" si="45"/>
        <v>65.40818086956523</v>
      </c>
      <c r="BE52" s="36" t="str">
        <f t="shared" si="46"/>
        <v>yes</v>
      </c>
      <c r="BF52" s="37">
        <f t="shared" si="47"/>
        <v>0.2272695652173913</v>
      </c>
      <c r="BG52" s="37">
        <f t="shared" si="48"/>
        <v>24.545113043478263</v>
      </c>
      <c r="BH52" s="36">
        <f t="shared" si="49"/>
        <v>40.86306782608696</v>
      </c>
      <c r="BI52" s="38">
        <f t="shared" si="50"/>
        <v>65.40818086956523</v>
      </c>
      <c r="BJ52" s="1" t="str">
        <f t="shared" si="51"/>
        <v>yes</v>
      </c>
      <c r="BK52" s="37">
        <f t="shared" si="52"/>
        <v>0</v>
      </c>
      <c r="BL52" s="37">
        <f t="shared" si="53"/>
        <v>0</v>
      </c>
      <c r="BM52" s="7">
        <f t="shared" si="54"/>
        <v>0</v>
      </c>
      <c r="BN52" s="7">
        <f t="shared" si="55"/>
        <v>0</v>
      </c>
    </row>
    <row r="53" spans="4:66" ht="18" customHeight="1">
      <c r="D53" s="157" t="s">
        <v>74</v>
      </c>
      <c r="E53" s="158" t="s">
        <v>208</v>
      </c>
      <c r="F53" s="79">
        <f t="shared" si="14"/>
        <v>52272</v>
      </c>
      <c r="G53" s="80">
        <f t="shared" si="15"/>
        <v>40</v>
      </c>
      <c r="H53" s="149">
        <f t="shared" si="16"/>
        <v>4</v>
      </c>
      <c r="I53" s="150">
        <f t="shared" si="17"/>
        <v>0</v>
      </c>
      <c r="J53" s="83">
        <f t="shared" si="18"/>
        <v>0</v>
      </c>
      <c r="K53" s="84">
        <f t="shared" si="19"/>
        <v>70.86265043478261</v>
      </c>
      <c r="L53" s="151">
        <f t="shared" si="20"/>
      </c>
      <c r="M53" s="152">
        <f t="shared" si="21"/>
        <v>29.999582608695654</v>
      </c>
      <c r="N53" s="188" t="str">
        <f t="shared" si="22"/>
        <v>New</v>
      </c>
      <c r="O53" s="153">
        <f t="shared" si="23"/>
      </c>
      <c r="P53" s="154">
        <f t="shared" si="24"/>
        <v>40.86306782608696</v>
      </c>
      <c r="Q53" s="176" t="str">
        <f t="shared" si="25"/>
        <v>New</v>
      </c>
      <c r="R53" s="100" t="str">
        <f t="shared" si="26"/>
        <v>New</v>
      </c>
      <c r="S53" s="184">
        <f t="shared" si="27"/>
      </c>
      <c r="U53" s="208" t="s">
        <v>95</v>
      </c>
      <c r="V53" s="4" t="s">
        <v>12</v>
      </c>
      <c r="X53" s="155"/>
      <c r="Y53" s="155"/>
      <c r="Z53" s="155">
        <v>132</v>
      </c>
      <c r="AA53" s="155"/>
      <c r="AB53" s="155"/>
      <c r="AC53" s="155"/>
      <c r="AD53" s="155"/>
      <c r="AE53" s="155">
        <v>179.8</v>
      </c>
      <c r="AF53" s="155"/>
      <c r="AG53" s="32">
        <f t="shared" si="28"/>
        <v>0</v>
      </c>
      <c r="AH53" s="32">
        <f t="shared" si="29"/>
        <v>0</v>
      </c>
      <c r="AI53" s="32">
        <f t="shared" si="30"/>
        <v>311.8</v>
      </c>
      <c r="AJ53" s="33"/>
      <c r="AK53" s="33">
        <v>230000</v>
      </c>
      <c r="AL53" s="33"/>
      <c r="AM53" s="33">
        <v>230000</v>
      </c>
      <c r="AN53" s="33"/>
      <c r="AO53" s="33">
        <v>230000</v>
      </c>
      <c r="AP53" s="67">
        <f t="shared" si="31"/>
        <v>230000</v>
      </c>
      <c r="AQ53" s="34">
        <f t="shared" si="32"/>
        <v>100</v>
      </c>
      <c r="AR53" s="67">
        <f t="shared" si="33"/>
        <v>230000</v>
      </c>
      <c r="AS53" s="34">
        <f t="shared" si="34"/>
        <v>100</v>
      </c>
      <c r="AT53" s="28">
        <f t="shared" si="35"/>
      </c>
      <c r="AU53" s="28">
        <f t="shared" si="36"/>
      </c>
      <c r="AV53" s="28">
        <f t="shared" si="37"/>
      </c>
      <c r="AW53" s="24">
        <f t="shared" si="38"/>
      </c>
      <c r="AX53" s="24">
        <f t="shared" si="39"/>
      </c>
      <c r="AY53" s="24" t="str">
        <f t="shared" si="40"/>
        <v>New</v>
      </c>
      <c r="AZ53" s="156">
        <f t="shared" si="41"/>
        <v>52272</v>
      </c>
      <c r="BA53" s="35">
        <f t="shared" si="42"/>
        <v>0.2272695652173913</v>
      </c>
      <c r="BB53" s="35">
        <f t="shared" si="43"/>
        <v>29.999582608695654</v>
      </c>
      <c r="BC53" s="36">
        <f t="shared" si="44"/>
        <v>40.86306782608696</v>
      </c>
      <c r="BD53" s="36">
        <f t="shared" si="45"/>
        <v>70.86265043478261</v>
      </c>
      <c r="BE53" s="36" t="str">
        <f t="shared" si="46"/>
        <v>yes</v>
      </c>
      <c r="BF53" s="37">
        <f t="shared" si="47"/>
        <v>0.2272695652173913</v>
      </c>
      <c r="BG53" s="37">
        <f t="shared" si="48"/>
      </c>
      <c r="BH53" s="36">
        <f t="shared" si="49"/>
        <v>0</v>
      </c>
      <c r="BI53" s="38">
        <f t="shared" si="50"/>
        <v>0</v>
      </c>
      <c r="BJ53" s="1" t="str">
        <f t="shared" si="51"/>
        <v>yes</v>
      </c>
      <c r="BK53" s="37">
        <f>IF(BG53="","",IF(BG53=0,"",BB53-BG53))</f>
      </c>
      <c r="BL53" s="37">
        <f>IF(BH53="","",IF(BH53=0,"",BC53-BH53))</f>
      </c>
      <c r="BM53" s="7">
        <f t="shared" si="54"/>
      </c>
      <c r="BN53" s="7" t="e">
        <f t="shared" si="55"/>
        <v>#VALUE!</v>
      </c>
    </row>
    <row r="54" spans="2:66" ht="18" customHeight="1">
      <c r="B54" s="4" t="s">
        <v>12</v>
      </c>
      <c r="C54" s="4" t="s">
        <v>95</v>
      </c>
      <c r="D54" s="157" t="s">
        <v>74</v>
      </c>
      <c r="E54" s="158" t="s">
        <v>75</v>
      </c>
      <c r="F54" s="79">
        <f t="shared" si="14"/>
        <v>52272</v>
      </c>
      <c r="G54" s="80">
        <f t="shared" si="15"/>
        <v>40</v>
      </c>
      <c r="H54" s="149">
        <f t="shared" si="16"/>
        <v>4</v>
      </c>
      <c r="I54" s="150">
        <f t="shared" si="17"/>
        <v>67.47633391304348</v>
      </c>
      <c r="J54" s="83">
        <f t="shared" si="18"/>
        <v>65.63545043478261</v>
      </c>
      <c r="K54" s="84">
        <f t="shared" si="19"/>
        <v>66.0899895652174</v>
      </c>
      <c r="L54" s="151">
        <f t="shared" si="20"/>
        <v>24.772382608695654</v>
      </c>
      <c r="M54" s="152">
        <f t="shared" si="21"/>
        <v>25.226921739130436</v>
      </c>
      <c r="N54" s="188">
        <f t="shared" si="22"/>
        <v>0.0183486238532109</v>
      </c>
      <c r="O54" s="153">
        <f t="shared" si="23"/>
        <v>40.86306782608696</v>
      </c>
      <c r="P54" s="154">
        <f t="shared" si="24"/>
        <v>40.86306782608696</v>
      </c>
      <c r="Q54" s="176">
        <f t="shared" si="25"/>
        <v>0</v>
      </c>
      <c r="R54" s="100">
        <f t="shared" si="26"/>
        <v>0.45453913043478167</v>
      </c>
      <c r="S54" s="184">
        <f t="shared" si="27"/>
        <v>0.006925207756232672</v>
      </c>
      <c r="U54" s="208" t="s">
        <v>95</v>
      </c>
      <c r="V54" s="4" t="s">
        <v>12</v>
      </c>
      <c r="X54" s="155">
        <v>125</v>
      </c>
      <c r="Y54" s="155">
        <v>109</v>
      </c>
      <c r="Z54" s="155">
        <v>111</v>
      </c>
      <c r="AA54" s="155">
        <v>171.9</v>
      </c>
      <c r="AB54" s="155"/>
      <c r="AC54" s="155">
        <v>179.8</v>
      </c>
      <c r="AD54" s="155"/>
      <c r="AE54" s="155">
        <v>179.8</v>
      </c>
      <c r="AF54" s="155"/>
      <c r="AG54" s="32">
        <f t="shared" si="28"/>
        <v>296.9</v>
      </c>
      <c r="AH54" s="32">
        <f t="shared" si="29"/>
        <v>288.8</v>
      </c>
      <c r="AI54" s="32">
        <f t="shared" si="30"/>
        <v>290.8</v>
      </c>
      <c r="AJ54" s="33"/>
      <c r="AK54" s="33">
        <v>230000</v>
      </c>
      <c r="AL54" s="33"/>
      <c r="AM54" s="33">
        <v>230000</v>
      </c>
      <c r="AN54" s="33"/>
      <c r="AO54" s="33">
        <v>230000</v>
      </c>
      <c r="AP54" s="67">
        <f t="shared" si="31"/>
        <v>230000</v>
      </c>
      <c r="AQ54" s="34">
        <f t="shared" si="32"/>
        <v>100</v>
      </c>
      <c r="AR54" s="67">
        <f t="shared" si="33"/>
        <v>230000</v>
      </c>
      <c r="AS54" s="34">
        <f t="shared" si="34"/>
        <v>100</v>
      </c>
      <c r="AT54" s="28">
        <f t="shared" si="35"/>
        <v>109.00000000000001</v>
      </c>
      <c r="AU54" s="28">
        <f t="shared" si="36"/>
        <v>179.8</v>
      </c>
      <c r="AV54" s="28">
        <f t="shared" si="37"/>
        <v>288.8</v>
      </c>
      <c r="AW54" s="24">
        <f t="shared" si="38"/>
        <v>1.9999999999999858</v>
      </c>
      <c r="AX54" s="24">
        <f t="shared" si="39"/>
        <v>0</v>
      </c>
      <c r="AY54" s="24">
        <f t="shared" si="40"/>
        <v>2</v>
      </c>
      <c r="AZ54" s="156">
        <f t="shared" si="41"/>
        <v>52272</v>
      </c>
      <c r="BA54" s="35">
        <f t="shared" si="42"/>
        <v>0.2272695652173913</v>
      </c>
      <c r="BB54" s="35">
        <f t="shared" si="43"/>
        <v>25.226921739130436</v>
      </c>
      <c r="BC54" s="36">
        <f t="shared" si="44"/>
        <v>40.86306782608696</v>
      </c>
      <c r="BD54" s="36">
        <f t="shared" si="45"/>
        <v>66.0899895652174</v>
      </c>
      <c r="BE54" s="36" t="str">
        <f t="shared" si="46"/>
        <v>yes</v>
      </c>
      <c r="BF54" s="37">
        <f t="shared" si="47"/>
        <v>0.2272695652173913</v>
      </c>
      <c r="BG54" s="37">
        <f t="shared" si="48"/>
        <v>24.772382608695654</v>
      </c>
      <c r="BH54" s="36">
        <f t="shared" si="49"/>
        <v>40.86306782608696</v>
      </c>
      <c r="BI54" s="38">
        <f t="shared" si="50"/>
        <v>65.63545043478261</v>
      </c>
      <c r="BJ54" s="1" t="str">
        <f t="shared" si="51"/>
        <v>yes</v>
      </c>
      <c r="BK54" s="37">
        <f aca="true" t="shared" si="56" ref="BK54:BL57">IF(BG54="","",IF(BG54=0,"",BB54-BG54))</f>
        <v>0.45453913043478167</v>
      </c>
      <c r="BL54" s="37">
        <f t="shared" si="56"/>
        <v>0</v>
      </c>
      <c r="BM54" s="7">
        <f t="shared" si="54"/>
        <v>0.45453913043478167</v>
      </c>
      <c r="BN54" s="7">
        <f t="shared" si="55"/>
        <v>0</v>
      </c>
    </row>
    <row r="55" spans="2:66" ht="18" customHeight="1">
      <c r="B55" s="4" t="s">
        <v>12</v>
      </c>
      <c r="C55" s="4" t="s">
        <v>95</v>
      </c>
      <c r="D55" s="157" t="s">
        <v>74</v>
      </c>
      <c r="E55" s="158" t="s">
        <v>139</v>
      </c>
      <c r="F55" s="79">
        <f t="shared" si="14"/>
        <v>52272</v>
      </c>
      <c r="G55" s="80">
        <f t="shared" si="15"/>
        <v>40</v>
      </c>
      <c r="H55" s="149">
        <f t="shared" si="16"/>
        <v>4</v>
      </c>
      <c r="I55" s="150">
        <f t="shared" si="17"/>
        <v>67.47633391304348</v>
      </c>
      <c r="J55" s="83">
        <f t="shared" si="18"/>
        <v>70.40811130434784</v>
      </c>
      <c r="K55" s="84">
        <f t="shared" si="19"/>
        <v>70.86265043478261</v>
      </c>
      <c r="L55" s="151">
        <f t="shared" si="20"/>
        <v>29.545043478260872</v>
      </c>
      <c r="M55" s="152">
        <f t="shared" si="21"/>
        <v>29.999582608695654</v>
      </c>
      <c r="N55" s="188">
        <f t="shared" si="22"/>
        <v>0.01538461538461533</v>
      </c>
      <c r="O55" s="153">
        <f t="shared" si="23"/>
        <v>40.86306782608696</v>
      </c>
      <c r="P55" s="154">
        <f t="shared" si="24"/>
        <v>40.86306782608696</v>
      </c>
      <c r="Q55" s="176">
        <f t="shared" si="25"/>
        <v>0</v>
      </c>
      <c r="R55" s="100">
        <f t="shared" si="26"/>
        <v>0.45453913043476746</v>
      </c>
      <c r="S55" s="184">
        <f t="shared" si="27"/>
        <v>0.0064557779212392925</v>
      </c>
      <c r="U55" s="208" t="s">
        <v>95</v>
      </c>
      <c r="V55" s="4" t="s">
        <v>12</v>
      </c>
      <c r="X55" s="155">
        <v>125</v>
      </c>
      <c r="Y55" s="155">
        <v>130</v>
      </c>
      <c r="Z55" s="155">
        <v>132</v>
      </c>
      <c r="AA55" s="206">
        <v>171.9</v>
      </c>
      <c r="AB55" s="155"/>
      <c r="AC55" s="206">
        <v>179.8</v>
      </c>
      <c r="AD55" s="155"/>
      <c r="AE55" s="206">
        <v>179.8</v>
      </c>
      <c r="AF55" s="155"/>
      <c r="AG55" s="32">
        <f t="shared" si="28"/>
        <v>296.9</v>
      </c>
      <c r="AH55" s="32">
        <f t="shared" si="29"/>
        <v>309.8</v>
      </c>
      <c r="AI55" s="32">
        <f t="shared" si="30"/>
        <v>311.8</v>
      </c>
      <c r="AJ55" s="33"/>
      <c r="AK55" s="33">
        <v>230000</v>
      </c>
      <c r="AL55" s="33"/>
      <c r="AM55" s="33">
        <v>230000</v>
      </c>
      <c r="AN55" s="33"/>
      <c r="AO55" s="33">
        <v>230000</v>
      </c>
      <c r="AP55" s="67">
        <f t="shared" si="31"/>
        <v>230000</v>
      </c>
      <c r="AQ55" s="34">
        <f t="shared" si="32"/>
        <v>100</v>
      </c>
      <c r="AR55" s="67">
        <f t="shared" si="33"/>
        <v>230000</v>
      </c>
      <c r="AS55" s="34">
        <f t="shared" si="34"/>
        <v>100</v>
      </c>
      <c r="AT55" s="28">
        <f t="shared" si="35"/>
        <v>130</v>
      </c>
      <c r="AU55" s="28">
        <f t="shared" si="36"/>
        <v>179.8</v>
      </c>
      <c r="AV55" s="28">
        <f t="shared" si="37"/>
        <v>309.8</v>
      </c>
      <c r="AW55" s="24">
        <f t="shared" si="38"/>
        <v>2</v>
      </c>
      <c r="AX55" s="24">
        <f t="shared" si="39"/>
        <v>0</v>
      </c>
      <c r="AY55" s="24">
        <f t="shared" si="40"/>
        <v>2</v>
      </c>
      <c r="AZ55" s="156">
        <f t="shared" si="41"/>
        <v>52272</v>
      </c>
      <c r="BA55" s="35">
        <f t="shared" si="42"/>
        <v>0.2272695652173913</v>
      </c>
      <c r="BB55" s="35">
        <f t="shared" si="43"/>
        <v>29.999582608695654</v>
      </c>
      <c r="BC55" s="36">
        <f t="shared" si="44"/>
        <v>40.86306782608696</v>
      </c>
      <c r="BD55" s="36">
        <f t="shared" si="45"/>
        <v>70.86265043478261</v>
      </c>
      <c r="BE55" s="36" t="str">
        <f t="shared" si="46"/>
        <v>yes</v>
      </c>
      <c r="BF55" s="37">
        <f t="shared" si="47"/>
        <v>0.2272695652173913</v>
      </c>
      <c r="BG55" s="37">
        <f t="shared" si="48"/>
        <v>29.545043478260872</v>
      </c>
      <c r="BH55" s="36">
        <f t="shared" si="49"/>
        <v>40.86306782608696</v>
      </c>
      <c r="BI55" s="38">
        <f t="shared" si="50"/>
        <v>70.40811130434784</v>
      </c>
      <c r="BJ55" s="1" t="str">
        <f t="shared" si="51"/>
        <v>yes</v>
      </c>
      <c r="BK55" s="37">
        <f t="shared" si="56"/>
        <v>0.45453913043478167</v>
      </c>
      <c r="BL55" s="37">
        <f t="shared" si="56"/>
        <v>0</v>
      </c>
      <c r="BM55" s="7">
        <f t="shared" si="54"/>
        <v>0.45453913043476746</v>
      </c>
      <c r="BN55" s="7">
        <f t="shared" si="55"/>
        <v>0</v>
      </c>
    </row>
    <row r="56" spans="2:66" ht="18" customHeight="1">
      <c r="B56" s="4" t="s">
        <v>12</v>
      </c>
      <c r="C56" s="4" t="s">
        <v>95</v>
      </c>
      <c r="D56" s="157" t="s">
        <v>74</v>
      </c>
      <c r="E56" s="158" t="s">
        <v>76</v>
      </c>
      <c r="F56" s="79">
        <f t="shared" si="14"/>
        <v>52272</v>
      </c>
      <c r="G56" s="80">
        <f t="shared" si="15"/>
        <v>40</v>
      </c>
      <c r="H56" s="149">
        <f t="shared" si="16"/>
        <v>4</v>
      </c>
      <c r="I56" s="150">
        <f t="shared" si="17"/>
        <v>67.47633391304348</v>
      </c>
      <c r="J56" s="83">
        <f t="shared" si="18"/>
        <v>65.63545043478261</v>
      </c>
      <c r="K56" s="84">
        <f t="shared" si="19"/>
        <v>66.0899895652174</v>
      </c>
      <c r="L56" s="151">
        <f t="shared" si="20"/>
        <v>24.772382608695654</v>
      </c>
      <c r="M56" s="152">
        <f t="shared" si="21"/>
        <v>25.226921739130436</v>
      </c>
      <c r="N56" s="188">
        <f t="shared" si="22"/>
        <v>0.0183486238532109</v>
      </c>
      <c r="O56" s="153">
        <f t="shared" si="23"/>
        <v>40.86306782608696</v>
      </c>
      <c r="P56" s="154">
        <f t="shared" si="24"/>
        <v>40.86306782608696</v>
      </c>
      <c r="Q56" s="176">
        <f t="shared" si="25"/>
        <v>0</v>
      </c>
      <c r="R56" s="100">
        <f t="shared" si="26"/>
        <v>0.45453913043478167</v>
      </c>
      <c r="S56" s="184">
        <f t="shared" si="27"/>
        <v>0.006925207756232672</v>
      </c>
      <c r="U56" s="208" t="s">
        <v>95</v>
      </c>
      <c r="V56" s="4" t="s">
        <v>12</v>
      </c>
      <c r="X56" s="155">
        <v>125</v>
      </c>
      <c r="Y56" s="155">
        <v>109</v>
      </c>
      <c r="Z56" s="155">
        <v>111</v>
      </c>
      <c r="AA56" s="206">
        <v>171.9</v>
      </c>
      <c r="AB56" s="155"/>
      <c r="AC56" s="206">
        <v>179.8</v>
      </c>
      <c r="AD56" s="155"/>
      <c r="AE56" s="206">
        <v>179.8</v>
      </c>
      <c r="AF56" s="155"/>
      <c r="AG56" s="32">
        <f t="shared" si="28"/>
        <v>296.9</v>
      </c>
      <c r="AH56" s="32">
        <f t="shared" si="29"/>
        <v>288.8</v>
      </c>
      <c r="AI56" s="32">
        <f t="shared" si="30"/>
        <v>290.8</v>
      </c>
      <c r="AJ56" s="33"/>
      <c r="AK56" s="33">
        <v>230000</v>
      </c>
      <c r="AL56" s="33"/>
      <c r="AM56" s="33">
        <v>230000</v>
      </c>
      <c r="AN56" s="33"/>
      <c r="AO56" s="33">
        <v>230000</v>
      </c>
      <c r="AP56" s="67">
        <f t="shared" si="31"/>
        <v>230000</v>
      </c>
      <c r="AQ56" s="34">
        <f t="shared" si="32"/>
        <v>100</v>
      </c>
      <c r="AR56" s="67">
        <f t="shared" si="33"/>
        <v>230000</v>
      </c>
      <c r="AS56" s="34">
        <f t="shared" si="34"/>
        <v>100</v>
      </c>
      <c r="AT56" s="28">
        <f t="shared" si="35"/>
        <v>109.00000000000001</v>
      </c>
      <c r="AU56" s="28">
        <f t="shared" si="36"/>
        <v>179.8</v>
      </c>
      <c r="AV56" s="28">
        <f t="shared" si="37"/>
        <v>288.8</v>
      </c>
      <c r="AW56" s="24">
        <f t="shared" si="38"/>
        <v>1.9999999999999858</v>
      </c>
      <c r="AX56" s="24">
        <f t="shared" si="39"/>
        <v>0</v>
      </c>
      <c r="AY56" s="24">
        <f t="shared" si="40"/>
        <v>2</v>
      </c>
      <c r="AZ56" s="156">
        <f t="shared" si="41"/>
        <v>52272</v>
      </c>
      <c r="BA56" s="35">
        <f t="shared" si="42"/>
        <v>0.2272695652173913</v>
      </c>
      <c r="BB56" s="35">
        <f t="shared" si="43"/>
        <v>25.226921739130436</v>
      </c>
      <c r="BC56" s="36">
        <f t="shared" si="44"/>
        <v>40.86306782608696</v>
      </c>
      <c r="BD56" s="36">
        <f t="shared" si="45"/>
        <v>66.0899895652174</v>
      </c>
      <c r="BE56" s="36" t="str">
        <f t="shared" si="46"/>
        <v>yes</v>
      </c>
      <c r="BF56" s="37">
        <f t="shared" si="47"/>
        <v>0.2272695652173913</v>
      </c>
      <c r="BG56" s="37">
        <f t="shared" si="48"/>
        <v>24.772382608695654</v>
      </c>
      <c r="BH56" s="36">
        <f t="shared" si="49"/>
        <v>40.86306782608696</v>
      </c>
      <c r="BI56" s="38">
        <f t="shared" si="50"/>
        <v>65.63545043478261</v>
      </c>
      <c r="BJ56" s="1" t="str">
        <f t="shared" si="51"/>
        <v>yes</v>
      </c>
      <c r="BK56" s="37">
        <f t="shared" si="56"/>
        <v>0.45453913043478167</v>
      </c>
      <c r="BL56" s="37">
        <f t="shared" si="56"/>
        <v>0</v>
      </c>
      <c r="BM56" s="7">
        <f t="shared" si="54"/>
        <v>0.45453913043478167</v>
      </c>
      <c r="BN56" s="7">
        <f t="shared" si="55"/>
        <v>0</v>
      </c>
    </row>
    <row r="57" spans="2:66" ht="18" customHeight="1">
      <c r="B57" s="4" t="s">
        <v>12</v>
      </c>
      <c r="C57" s="4" t="s">
        <v>95</v>
      </c>
      <c r="D57" s="157" t="s">
        <v>74</v>
      </c>
      <c r="E57" s="158" t="s">
        <v>77</v>
      </c>
      <c r="F57" s="79">
        <f t="shared" si="14"/>
        <v>52272</v>
      </c>
      <c r="G57" s="80">
        <f t="shared" si="15"/>
        <v>40</v>
      </c>
      <c r="H57" s="149">
        <f t="shared" si="16"/>
        <v>4</v>
      </c>
      <c r="I57" s="150">
        <f t="shared" si="17"/>
        <v>67.47633391304348</v>
      </c>
      <c r="J57" s="83">
        <f t="shared" si="18"/>
        <v>65.63545043478261</v>
      </c>
      <c r="K57" s="84">
        <f t="shared" si="19"/>
        <v>66.0899895652174</v>
      </c>
      <c r="L57" s="151">
        <f t="shared" si="20"/>
        <v>24.772382608695654</v>
      </c>
      <c r="M57" s="152">
        <f t="shared" si="21"/>
        <v>25.226921739130436</v>
      </c>
      <c r="N57" s="188">
        <f t="shared" si="22"/>
        <v>0.0183486238532109</v>
      </c>
      <c r="O57" s="153">
        <f t="shared" si="23"/>
        <v>40.86306782608696</v>
      </c>
      <c r="P57" s="154">
        <f t="shared" si="24"/>
        <v>40.86306782608696</v>
      </c>
      <c r="Q57" s="176">
        <f t="shared" si="25"/>
        <v>0</v>
      </c>
      <c r="R57" s="100">
        <f t="shared" si="26"/>
        <v>0.45453913043478167</v>
      </c>
      <c r="S57" s="184">
        <f t="shared" si="27"/>
        <v>0.006925207756232672</v>
      </c>
      <c r="U57" s="208" t="s">
        <v>95</v>
      </c>
      <c r="V57" s="4" t="s">
        <v>12</v>
      </c>
      <c r="X57" s="155">
        <v>125</v>
      </c>
      <c r="Y57" s="155">
        <v>109</v>
      </c>
      <c r="Z57" s="155">
        <v>111</v>
      </c>
      <c r="AA57" s="206">
        <v>171.9</v>
      </c>
      <c r="AB57" s="155"/>
      <c r="AC57" s="206">
        <v>179.8</v>
      </c>
      <c r="AD57" s="155"/>
      <c r="AE57" s="206">
        <v>179.8</v>
      </c>
      <c r="AF57" s="155"/>
      <c r="AG57" s="32">
        <f t="shared" si="28"/>
        <v>296.9</v>
      </c>
      <c r="AH57" s="32">
        <f t="shared" si="29"/>
        <v>288.8</v>
      </c>
      <c r="AI57" s="32">
        <f t="shared" si="30"/>
        <v>290.8</v>
      </c>
      <c r="AJ57" s="33"/>
      <c r="AK57" s="33">
        <v>230000</v>
      </c>
      <c r="AL57" s="33"/>
      <c r="AM57" s="33">
        <v>230000</v>
      </c>
      <c r="AN57" s="33"/>
      <c r="AO57" s="33">
        <v>230000</v>
      </c>
      <c r="AP57" s="67">
        <f t="shared" si="31"/>
        <v>230000</v>
      </c>
      <c r="AQ57" s="34">
        <f t="shared" si="32"/>
        <v>100</v>
      </c>
      <c r="AR57" s="67">
        <f t="shared" si="33"/>
        <v>230000</v>
      </c>
      <c r="AS57" s="34">
        <f t="shared" si="34"/>
        <v>100</v>
      </c>
      <c r="AT57" s="28">
        <f t="shared" si="35"/>
        <v>109.00000000000001</v>
      </c>
      <c r="AU57" s="28">
        <f t="shared" si="36"/>
        <v>179.8</v>
      </c>
      <c r="AV57" s="28">
        <f t="shared" si="37"/>
        <v>288.8</v>
      </c>
      <c r="AW57" s="24">
        <f t="shared" si="38"/>
        <v>1.9999999999999858</v>
      </c>
      <c r="AX57" s="24">
        <f t="shared" si="39"/>
        <v>0</v>
      </c>
      <c r="AY57" s="24">
        <f t="shared" si="40"/>
        <v>2</v>
      </c>
      <c r="AZ57" s="156">
        <f t="shared" si="41"/>
        <v>52272</v>
      </c>
      <c r="BA57" s="35">
        <f t="shared" si="42"/>
        <v>0.2272695652173913</v>
      </c>
      <c r="BB57" s="35">
        <f t="shared" si="43"/>
        <v>25.226921739130436</v>
      </c>
      <c r="BC57" s="36">
        <f t="shared" si="44"/>
        <v>40.86306782608696</v>
      </c>
      <c r="BD57" s="36">
        <f t="shared" si="45"/>
        <v>66.0899895652174</v>
      </c>
      <c r="BE57" s="36" t="str">
        <f t="shared" si="46"/>
        <v>yes</v>
      </c>
      <c r="BF57" s="37">
        <f t="shared" si="47"/>
        <v>0.2272695652173913</v>
      </c>
      <c r="BG57" s="37">
        <f t="shared" si="48"/>
        <v>24.772382608695654</v>
      </c>
      <c r="BH57" s="36">
        <f t="shared" si="49"/>
        <v>40.86306782608696</v>
      </c>
      <c r="BI57" s="38">
        <f t="shared" si="50"/>
        <v>65.63545043478261</v>
      </c>
      <c r="BJ57" s="1" t="str">
        <f t="shared" si="51"/>
        <v>yes</v>
      </c>
      <c r="BK57" s="37">
        <f t="shared" si="56"/>
        <v>0.45453913043478167</v>
      </c>
      <c r="BL57" s="37">
        <f t="shared" si="56"/>
        <v>0</v>
      </c>
      <c r="BM57" s="7">
        <f t="shared" si="54"/>
        <v>0.45453913043478167</v>
      </c>
      <c r="BN57" s="7">
        <f t="shared" si="55"/>
        <v>0</v>
      </c>
    </row>
    <row r="58" spans="2:66" ht="18" customHeight="1">
      <c r="B58" s="4" t="s">
        <v>12</v>
      </c>
      <c r="C58" s="4" t="s">
        <v>95</v>
      </c>
      <c r="D58" s="157" t="s">
        <v>80</v>
      </c>
      <c r="E58" s="158" t="s">
        <v>81</v>
      </c>
      <c r="F58" s="79">
        <f t="shared" si="14"/>
        <v>52272</v>
      </c>
      <c r="G58" s="80">
        <f t="shared" si="15"/>
        <v>40</v>
      </c>
      <c r="H58" s="149">
        <f t="shared" si="16"/>
        <v>4</v>
      </c>
      <c r="I58" s="150">
        <f t="shared" si="17"/>
        <v>66.7945252173913</v>
      </c>
      <c r="J58" s="83">
        <f t="shared" si="18"/>
        <v>71.54445913043479</v>
      </c>
      <c r="K58" s="84">
        <f t="shared" si="19"/>
        <v>72.45353739130435</v>
      </c>
      <c r="L58" s="151">
        <f t="shared" si="20"/>
        <v>30.68139130434783</v>
      </c>
      <c r="M58" s="152">
        <f t="shared" si="21"/>
        <v>31.590469565217393</v>
      </c>
      <c r="N58" s="188">
        <f t="shared" si="22"/>
        <v>0.029629629629629672</v>
      </c>
      <c r="O58" s="153">
        <f t="shared" si="23"/>
        <v>40.86306782608696</v>
      </c>
      <c r="P58" s="154">
        <f t="shared" si="24"/>
        <v>40.86306782608696</v>
      </c>
      <c r="Q58" s="176">
        <f t="shared" si="25"/>
        <v>0</v>
      </c>
      <c r="R58" s="100">
        <f t="shared" si="26"/>
        <v>0.9090782608695633</v>
      </c>
      <c r="S58" s="184">
        <f t="shared" si="27"/>
        <v>0.0127064803049555</v>
      </c>
      <c r="U58" s="208" t="s">
        <v>95</v>
      </c>
      <c r="V58" s="4" t="s">
        <v>12</v>
      </c>
      <c r="X58" s="155">
        <v>122</v>
      </c>
      <c r="Y58" s="155">
        <v>135</v>
      </c>
      <c r="Z58" s="155">
        <v>139</v>
      </c>
      <c r="AA58" s="155">
        <v>171.9</v>
      </c>
      <c r="AB58" s="155"/>
      <c r="AC58" s="155">
        <v>179.8</v>
      </c>
      <c r="AD58" s="155"/>
      <c r="AE58" s="155">
        <v>179.8</v>
      </c>
      <c r="AF58" s="155"/>
      <c r="AG58" s="32">
        <f t="shared" si="28"/>
        <v>293.9</v>
      </c>
      <c r="AH58" s="32">
        <f t="shared" si="29"/>
        <v>314.8</v>
      </c>
      <c r="AI58" s="32">
        <f t="shared" si="30"/>
        <v>318.8</v>
      </c>
      <c r="AJ58" s="33"/>
      <c r="AK58" s="33">
        <v>230000</v>
      </c>
      <c r="AL58" s="33"/>
      <c r="AM58" s="33">
        <v>230000</v>
      </c>
      <c r="AN58" s="33"/>
      <c r="AO58" s="33">
        <v>230000</v>
      </c>
      <c r="AP58" s="67">
        <f t="shared" si="31"/>
        <v>230000</v>
      </c>
      <c r="AQ58" s="34">
        <f t="shared" si="32"/>
        <v>100</v>
      </c>
      <c r="AR58" s="67">
        <f t="shared" si="33"/>
        <v>230000</v>
      </c>
      <c r="AS58" s="34">
        <f t="shared" si="34"/>
        <v>100</v>
      </c>
      <c r="AT58" s="28">
        <f t="shared" si="35"/>
        <v>135</v>
      </c>
      <c r="AU58" s="28">
        <f t="shared" si="36"/>
        <v>179.8</v>
      </c>
      <c r="AV58" s="28">
        <f t="shared" si="37"/>
        <v>314.8</v>
      </c>
      <c r="AW58" s="24">
        <f t="shared" si="38"/>
        <v>4</v>
      </c>
      <c r="AX58" s="24">
        <f t="shared" si="39"/>
        <v>0</v>
      </c>
      <c r="AY58" s="24">
        <f t="shared" si="40"/>
        <v>4</v>
      </c>
      <c r="AZ58" s="156">
        <f t="shared" si="41"/>
        <v>52272</v>
      </c>
      <c r="BA58" s="35">
        <f t="shared" si="42"/>
        <v>0.2272695652173913</v>
      </c>
      <c r="BB58" s="35">
        <f t="shared" si="43"/>
        <v>31.590469565217393</v>
      </c>
      <c r="BC58" s="36">
        <f t="shared" si="44"/>
        <v>40.86306782608696</v>
      </c>
      <c r="BD58" s="36">
        <f t="shared" si="45"/>
        <v>72.45353739130435</v>
      </c>
      <c r="BE58" s="36" t="str">
        <f t="shared" si="46"/>
        <v>yes</v>
      </c>
      <c r="BF58" s="37">
        <f t="shared" si="47"/>
        <v>0.2272695652173913</v>
      </c>
      <c r="BG58" s="37">
        <f t="shared" si="48"/>
        <v>30.68139130434783</v>
      </c>
      <c r="BH58" s="36">
        <f t="shared" si="49"/>
        <v>40.86306782608696</v>
      </c>
      <c r="BI58" s="38">
        <f t="shared" si="50"/>
        <v>71.54445913043479</v>
      </c>
      <c r="BJ58" s="1" t="str">
        <f t="shared" si="51"/>
        <v>yes</v>
      </c>
      <c r="BK58" s="37">
        <f aca="true" t="shared" si="57" ref="BK58:BL98">IF(BG58="","",IF(BG58=0,"",BB58-BG58))</f>
        <v>0.9090782608695633</v>
      </c>
      <c r="BL58" s="37">
        <f aca="true" t="shared" si="58" ref="BL58:BL98">IF(BH58="","",IF(BH58=0,"",BC58-BH58))</f>
        <v>0</v>
      </c>
      <c r="BM58" s="7">
        <f t="shared" si="54"/>
        <v>0.9090782608695633</v>
      </c>
      <c r="BN58" s="7">
        <f t="shared" si="55"/>
        <v>0</v>
      </c>
    </row>
    <row r="59" spans="2:66" ht="18" customHeight="1">
      <c r="B59" s="4" t="s">
        <v>12</v>
      </c>
      <c r="C59" s="4" t="s">
        <v>95</v>
      </c>
      <c r="D59" s="157" t="s">
        <v>80</v>
      </c>
      <c r="E59" s="158" t="s">
        <v>50</v>
      </c>
      <c r="F59" s="79">
        <f t="shared" si="14"/>
        <v>52272</v>
      </c>
      <c r="G59" s="80">
        <f t="shared" si="15"/>
        <v>40</v>
      </c>
      <c r="H59" s="149">
        <f t="shared" si="16"/>
        <v>4</v>
      </c>
      <c r="I59" s="150">
        <f t="shared" si="17"/>
        <v>0</v>
      </c>
      <c r="J59" s="83">
        <f t="shared" si="18"/>
        <v>0</v>
      </c>
      <c r="K59" s="84">
        <f t="shared" si="19"/>
        <v>72.45353739130435</v>
      </c>
      <c r="L59" s="151">
        <f t="shared" si="20"/>
      </c>
      <c r="M59" s="152">
        <f t="shared" si="21"/>
        <v>31.590469565217393</v>
      </c>
      <c r="N59" s="188" t="str">
        <f t="shared" si="22"/>
        <v>New</v>
      </c>
      <c r="O59" s="153">
        <f t="shared" si="23"/>
      </c>
      <c r="P59" s="154">
        <f t="shared" si="24"/>
        <v>40.86306782608696</v>
      </c>
      <c r="Q59" s="176" t="str">
        <f t="shared" si="25"/>
        <v>New</v>
      </c>
      <c r="R59" s="100" t="str">
        <f t="shared" si="26"/>
        <v>New</v>
      </c>
      <c r="S59" s="184">
        <f t="shared" si="27"/>
      </c>
      <c r="U59" s="208" t="s">
        <v>95</v>
      </c>
      <c r="V59" s="4" t="s">
        <v>12</v>
      </c>
      <c r="X59" s="155"/>
      <c r="Y59" s="155"/>
      <c r="Z59" s="155">
        <v>139</v>
      </c>
      <c r="AA59" s="155"/>
      <c r="AB59" s="155"/>
      <c r="AC59" s="155"/>
      <c r="AD59" s="155"/>
      <c r="AE59" s="155">
        <v>179.8</v>
      </c>
      <c r="AF59" s="155"/>
      <c r="AG59" s="32">
        <f t="shared" si="28"/>
        <v>0</v>
      </c>
      <c r="AH59" s="32">
        <f t="shared" si="29"/>
        <v>0</v>
      </c>
      <c r="AI59" s="32">
        <f t="shared" si="30"/>
        <v>318.8</v>
      </c>
      <c r="AJ59" s="33"/>
      <c r="AK59" s="33">
        <v>230000</v>
      </c>
      <c r="AL59" s="33"/>
      <c r="AM59" s="33">
        <v>230000</v>
      </c>
      <c r="AN59" s="33"/>
      <c r="AO59" s="33">
        <v>230000</v>
      </c>
      <c r="AP59" s="67">
        <f t="shared" si="31"/>
        <v>230000</v>
      </c>
      <c r="AQ59" s="34">
        <f t="shared" si="32"/>
        <v>100</v>
      </c>
      <c r="AR59" s="67">
        <f t="shared" si="33"/>
        <v>230000</v>
      </c>
      <c r="AS59" s="34">
        <f t="shared" si="34"/>
        <v>100</v>
      </c>
      <c r="AT59" s="28">
        <f t="shared" si="35"/>
      </c>
      <c r="AU59" s="28">
        <f t="shared" si="36"/>
      </c>
      <c r="AV59" s="28">
        <f t="shared" si="37"/>
      </c>
      <c r="AW59" s="24">
        <f t="shared" si="38"/>
      </c>
      <c r="AX59" s="24">
        <f t="shared" si="39"/>
      </c>
      <c r="AY59" s="24" t="str">
        <f t="shared" si="40"/>
        <v>New</v>
      </c>
      <c r="AZ59" s="156">
        <f t="shared" si="41"/>
        <v>52272</v>
      </c>
      <c r="BA59" s="35">
        <f t="shared" si="42"/>
        <v>0.2272695652173913</v>
      </c>
      <c r="BB59" s="35">
        <f t="shared" si="43"/>
        <v>31.590469565217393</v>
      </c>
      <c r="BC59" s="36">
        <f t="shared" si="44"/>
        <v>40.86306782608696</v>
      </c>
      <c r="BD59" s="36">
        <f t="shared" si="45"/>
        <v>72.45353739130435</v>
      </c>
      <c r="BE59" s="36" t="str">
        <f t="shared" si="46"/>
        <v>yes</v>
      </c>
      <c r="BF59" s="37">
        <f t="shared" si="47"/>
        <v>0.2272695652173913</v>
      </c>
      <c r="BG59" s="37">
        <f t="shared" si="48"/>
      </c>
      <c r="BH59" s="36">
        <f t="shared" si="49"/>
        <v>0</v>
      </c>
      <c r="BI59" s="38">
        <f t="shared" si="50"/>
        <v>0</v>
      </c>
      <c r="BJ59" s="1" t="str">
        <f t="shared" si="51"/>
        <v>yes</v>
      </c>
      <c r="BK59" s="37">
        <f t="shared" si="57"/>
      </c>
      <c r="BL59" s="37">
        <f t="shared" si="58"/>
      </c>
      <c r="BM59" s="7">
        <f t="shared" si="54"/>
      </c>
      <c r="BN59" s="7" t="e">
        <f t="shared" si="55"/>
        <v>#VALUE!</v>
      </c>
    </row>
    <row r="60" spans="2:66" ht="18" customHeight="1">
      <c r="B60" s="4" t="s">
        <v>12</v>
      </c>
      <c r="C60" s="4" t="s">
        <v>95</v>
      </c>
      <c r="D60" s="157" t="s">
        <v>80</v>
      </c>
      <c r="E60" s="158" t="s">
        <v>83</v>
      </c>
      <c r="F60" s="79">
        <f t="shared" si="14"/>
        <v>52272</v>
      </c>
      <c r="G60" s="80">
        <f t="shared" si="15"/>
        <v>40</v>
      </c>
      <c r="H60" s="149">
        <f t="shared" si="16"/>
        <v>4</v>
      </c>
      <c r="I60" s="150">
        <f t="shared" si="17"/>
        <v>67.70360347826086</v>
      </c>
      <c r="J60" s="83">
        <f t="shared" si="18"/>
        <v>71.54445913043479</v>
      </c>
      <c r="K60" s="84">
        <f t="shared" si="19"/>
        <v>65.40818086956523</v>
      </c>
      <c r="L60" s="151">
        <f t="shared" si="20"/>
        <v>30.68139130434783</v>
      </c>
      <c r="M60" s="152">
        <f t="shared" si="21"/>
        <v>24.545113043478263</v>
      </c>
      <c r="N60" s="188">
        <f t="shared" si="22"/>
        <v>-0.20000000000000007</v>
      </c>
      <c r="O60" s="153">
        <f t="shared" si="23"/>
        <v>40.86306782608696</v>
      </c>
      <c r="P60" s="154">
        <f t="shared" si="24"/>
        <v>40.86306782608696</v>
      </c>
      <c r="Q60" s="176">
        <f t="shared" si="25"/>
        <v>0</v>
      </c>
      <c r="R60" s="100">
        <f t="shared" si="26"/>
        <v>-6.13627826086956</v>
      </c>
      <c r="S60" s="184">
        <f t="shared" si="27"/>
        <v>-0.08576874205844973</v>
      </c>
      <c r="U60" s="208" t="s">
        <v>95</v>
      </c>
      <c r="V60" s="4" t="s">
        <v>12</v>
      </c>
      <c r="X60" s="155">
        <v>126</v>
      </c>
      <c r="Y60" s="155">
        <v>135</v>
      </c>
      <c r="Z60" s="155">
        <v>108</v>
      </c>
      <c r="AA60" s="155">
        <v>171.9</v>
      </c>
      <c r="AB60" s="155"/>
      <c r="AC60" s="155">
        <v>179.8</v>
      </c>
      <c r="AD60" s="155"/>
      <c r="AE60" s="155">
        <v>179.8</v>
      </c>
      <c r="AF60" s="155"/>
      <c r="AG60" s="32">
        <f t="shared" si="28"/>
        <v>297.9</v>
      </c>
      <c r="AH60" s="32">
        <f t="shared" si="29"/>
        <v>314.8</v>
      </c>
      <c r="AI60" s="32">
        <f t="shared" si="30"/>
        <v>287.8</v>
      </c>
      <c r="AJ60" s="33"/>
      <c r="AK60" s="33">
        <v>230000</v>
      </c>
      <c r="AL60" s="33"/>
      <c r="AM60" s="33">
        <v>230000</v>
      </c>
      <c r="AN60" s="33"/>
      <c r="AO60" s="33">
        <v>230000</v>
      </c>
      <c r="AP60" s="67">
        <f t="shared" si="31"/>
        <v>230000</v>
      </c>
      <c r="AQ60" s="34">
        <f t="shared" si="32"/>
        <v>100</v>
      </c>
      <c r="AR60" s="67">
        <f t="shared" si="33"/>
        <v>230000</v>
      </c>
      <c r="AS60" s="34">
        <f t="shared" si="34"/>
        <v>100</v>
      </c>
      <c r="AT60" s="28">
        <f t="shared" si="35"/>
        <v>135</v>
      </c>
      <c r="AU60" s="28">
        <f t="shared" si="36"/>
        <v>179.8</v>
      </c>
      <c r="AV60" s="28">
        <f t="shared" si="37"/>
        <v>314.8</v>
      </c>
      <c r="AW60" s="24">
        <f t="shared" si="38"/>
        <v>-27</v>
      </c>
      <c r="AX60" s="24">
        <f t="shared" si="39"/>
        <v>0</v>
      </c>
      <c r="AY60" s="24">
        <f t="shared" si="40"/>
        <v>-27</v>
      </c>
      <c r="AZ60" s="156">
        <f t="shared" si="41"/>
        <v>52272</v>
      </c>
      <c r="BA60" s="35">
        <f t="shared" si="42"/>
        <v>0.2272695652173913</v>
      </c>
      <c r="BB60" s="35">
        <f t="shared" si="43"/>
        <v>24.545113043478263</v>
      </c>
      <c r="BC60" s="36">
        <f t="shared" si="44"/>
        <v>40.86306782608696</v>
      </c>
      <c r="BD60" s="36">
        <f t="shared" si="45"/>
        <v>65.40818086956523</v>
      </c>
      <c r="BE60" s="36" t="str">
        <f t="shared" si="46"/>
        <v>yes</v>
      </c>
      <c r="BF60" s="37">
        <f t="shared" si="47"/>
        <v>0.2272695652173913</v>
      </c>
      <c r="BG60" s="37">
        <f t="shared" si="48"/>
        <v>30.68139130434783</v>
      </c>
      <c r="BH60" s="36">
        <f t="shared" si="49"/>
        <v>40.86306782608696</v>
      </c>
      <c r="BI60" s="38">
        <f t="shared" si="50"/>
        <v>71.54445913043479</v>
      </c>
      <c r="BJ60" s="1" t="str">
        <f t="shared" si="51"/>
        <v>yes</v>
      </c>
      <c r="BK60" s="37">
        <f t="shared" si="57"/>
        <v>-6.136278260869567</v>
      </c>
      <c r="BL60" s="37">
        <f t="shared" si="58"/>
        <v>0</v>
      </c>
      <c r="BM60" s="7">
        <f t="shared" si="54"/>
        <v>-6.13627826086956</v>
      </c>
      <c r="BN60" s="7">
        <f t="shared" si="55"/>
        <v>0</v>
      </c>
    </row>
    <row r="61" spans="2:66" ht="18" customHeight="1">
      <c r="B61" s="4" t="s">
        <v>12</v>
      </c>
      <c r="C61" s="4" t="s">
        <v>95</v>
      </c>
      <c r="D61" s="157" t="s">
        <v>80</v>
      </c>
      <c r="E61" s="158" t="s">
        <v>24</v>
      </c>
      <c r="F61" s="79">
        <f t="shared" si="14"/>
        <v>52272</v>
      </c>
      <c r="G61" s="80">
        <f t="shared" si="15"/>
        <v>40</v>
      </c>
      <c r="H61" s="149">
        <f t="shared" si="16"/>
        <v>4</v>
      </c>
      <c r="I61" s="150">
        <f t="shared" si="17"/>
        <v>67.70360347826086</v>
      </c>
      <c r="J61" s="83">
        <f t="shared" si="18"/>
        <v>71.54445913043479</v>
      </c>
      <c r="K61" s="84">
        <f t="shared" si="19"/>
        <v>72.45353739130435</v>
      </c>
      <c r="L61" s="151">
        <f t="shared" si="20"/>
        <v>30.68139130434783</v>
      </c>
      <c r="M61" s="152">
        <f t="shared" si="21"/>
        <v>31.590469565217393</v>
      </c>
      <c r="N61" s="188">
        <f t="shared" si="22"/>
        <v>0.029629629629629672</v>
      </c>
      <c r="O61" s="153">
        <f t="shared" si="23"/>
        <v>40.86306782608696</v>
      </c>
      <c r="P61" s="154">
        <f t="shared" si="24"/>
        <v>40.86306782608696</v>
      </c>
      <c r="Q61" s="176">
        <f t="shared" si="25"/>
        <v>0</v>
      </c>
      <c r="R61" s="100">
        <f t="shared" si="26"/>
        <v>0.9090782608695633</v>
      </c>
      <c r="S61" s="184">
        <f t="shared" si="27"/>
        <v>0.0127064803049555</v>
      </c>
      <c r="U61" s="208" t="s">
        <v>95</v>
      </c>
      <c r="V61" s="4" t="s">
        <v>12</v>
      </c>
      <c r="X61" s="155">
        <v>126</v>
      </c>
      <c r="Y61" s="155">
        <v>135</v>
      </c>
      <c r="Z61" s="155">
        <v>139</v>
      </c>
      <c r="AA61" s="155">
        <v>171.9</v>
      </c>
      <c r="AB61" s="155"/>
      <c r="AC61" s="155">
        <v>179.8</v>
      </c>
      <c r="AD61" s="155"/>
      <c r="AE61" s="155">
        <v>179.8</v>
      </c>
      <c r="AF61" s="155"/>
      <c r="AG61" s="32">
        <f t="shared" si="28"/>
        <v>297.9</v>
      </c>
      <c r="AH61" s="32">
        <f t="shared" si="29"/>
        <v>314.8</v>
      </c>
      <c r="AI61" s="32">
        <f t="shared" si="30"/>
        <v>318.8</v>
      </c>
      <c r="AJ61" s="33"/>
      <c r="AK61" s="33">
        <v>230000</v>
      </c>
      <c r="AL61" s="33"/>
      <c r="AM61" s="33">
        <v>230000</v>
      </c>
      <c r="AN61" s="33"/>
      <c r="AO61" s="33">
        <v>230000</v>
      </c>
      <c r="AP61" s="67">
        <f t="shared" si="31"/>
        <v>230000</v>
      </c>
      <c r="AQ61" s="34">
        <f t="shared" si="32"/>
        <v>100</v>
      </c>
      <c r="AR61" s="67">
        <f t="shared" si="33"/>
        <v>230000</v>
      </c>
      <c r="AS61" s="34">
        <f t="shared" si="34"/>
        <v>100</v>
      </c>
      <c r="AT61" s="28">
        <f t="shared" si="35"/>
        <v>135</v>
      </c>
      <c r="AU61" s="28">
        <f t="shared" si="36"/>
        <v>179.8</v>
      </c>
      <c r="AV61" s="28">
        <f t="shared" si="37"/>
        <v>314.8</v>
      </c>
      <c r="AW61" s="24">
        <f t="shared" si="38"/>
        <v>4</v>
      </c>
      <c r="AX61" s="24">
        <f t="shared" si="39"/>
        <v>0</v>
      </c>
      <c r="AY61" s="24">
        <f t="shared" si="40"/>
        <v>4</v>
      </c>
      <c r="AZ61" s="156">
        <f t="shared" si="41"/>
        <v>52272</v>
      </c>
      <c r="BA61" s="35">
        <f t="shared" si="42"/>
        <v>0.2272695652173913</v>
      </c>
      <c r="BB61" s="35">
        <f t="shared" si="43"/>
        <v>31.590469565217393</v>
      </c>
      <c r="BC61" s="36">
        <f t="shared" si="44"/>
        <v>40.86306782608696</v>
      </c>
      <c r="BD61" s="36">
        <f t="shared" si="45"/>
        <v>72.45353739130435</v>
      </c>
      <c r="BE61" s="36" t="str">
        <f t="shared" si="46"/>
        <v>yes</v>
      </c>
      <c r="BF61" s="37">
        <f t="shared" si="47"/>
        <v>0.2272695652173913</v>
      </c>
      <c r="BG61" s="37">
        <f t="shared" si="48"/>
        <v>30.68139130434783</v>
      </c>
      <c r="BH61" s="36">
        <f t="shared" si="49"/>
        <v>40.86306782608696</v>
      </c>
      <c r="BI61" s="38">
        <f t="shared" si="50"/>
        <v>71.54445913043479</v>
      </c>
      <c r="BJ61" s="1" t="str">
        <f t="shared" si="51"/>
        <v>yes</v>
      </c>
      <c r="BK61" s="37">
        <f t="shared" si="57"/>
        <v>0.9090782608695633</v>
      </c>
      <c r="BL61" s="37">
        <f t="shared" si="58"/>
        <v>0</v>
      </c>
      <c r="BM61" s="7">
        <f t="shared" si="54"/>
        <v>0.9090782608695633</v>
      </c>
      <c r="BN61" s="7">
        <f t="shared" si="55"/>
        <v>0</v>
      </c>
    </row>
    <row r="62" spans="2:66" ht="18" customHeight="1">
      <c r="B62" s="4" t="s">
        <v>12</v>
      </c>
      <c r="C62" s="4" t="s">
        <v>95</v>
      </c>
      <c r="D62" s="157" t="s">
        <v>190</v>
      </c>
      <c r="E62" s="158" t="s">
        <v>132</v>
      </c>
      <c r="F62" s="79">
        <f t="shared" si="14"/>
        <v>52272</v>
      </c>
      <c r="G62" s="80">
        <f t="shared" si="15"/>
        <v>40</v>
      </c>
      <c r="H62" s="149">
        <f t="shared" si="16"/>
        <v>4</v>
      </c>
      <c r="I62" s="150">
        <f t="shared" si="17"/>
        <v>68.9572224</v>
      </c>
      <c r="J62" s="83">
        <f t="shared" si="18"/>
        <v>74.2994208</v>
      </c>
      <c r="K62" s="84">
        <f t="shared" si="19"/>
        <v>75.13577279999998</v>
      </c>
      <c r="L62" s="151">
        <f t="shared" si="20"/>
        <v>33.4436256</v>
      </c>
      <c r="M62" s="152">
        <f t="shared" si="21"/>
        <v>34.279977599999995</v>
      </c>
      <c r="N62" s="188">
        <f t="shared" si="22"/>
        <v>0.025007814942169304</v>
      </c>
      <c r="O62" s="153">
        <f t="shared" si="23"/>
        <v>40.855795199999996</v>
      </c>
      <c r="P62" s="154">
        <f t="shared" si="24"/>
        <v>40.855795199999996</v>
      </c>
      <c r="Q62" s="176">
        <f t="shared" si="25"/>
        <v>0</v>
      </c>
      <c r="R62" s="100">
        <f t="shared" si="26"/>
        <v>0.8363519999999909</v>
      </c>
      <c r="S62" s="184">
        <f t="shared" si="27"/>
        <v>0.011256507668495728</v>
      </c>
      <c r="U62" s="208" t="s">
        <v>95</v>
      </c>
      <c r="V62" s="4" t="s">
        <v>12</v>
      </c>
      <c r="X62" s="162">
        <v>142.9</v>
      </c>
      <c r="Y62" s="162">
        <v>159.95</v>
      </c>
      <c r="Z62" s="162">
        <v>163.95</v>
      </c>
      <c r="AA62" s="31">
        <v>186.9</v>
      </c>
      <c r="AB62" s="31"/>
      <c r="AC62" s="161">
        <v>195.4</v>
      </c>
      <c r="AD62" s="31"/>
      <c r="AE62" s="161">
        <v>195.4</v>
      </c>
      <c r="AF62" s="31"/>
      <c r="AG62" s="32">
        <f t="shared" si="28"/>
        <v>329.8</v>
      </c>
      <c r="AH62" s="32">
        <f t="shared" si="29"/>
        <v>355.35</v>
      </c>
      <c r="AI62" s="32">
        <f t="shared" si="30"/>
        <v>359.35</v>
      </c>
      <c r="AJ62" s="33"/>
      <c r="AK62" s="33">
        <v>250000</v>
      </c>
      <c r="AL62" s="33"/>
      <c r="AM62" s="33">
        <v>250000</v>
      </c>
      <c r="AN62" s="33"/>
      <c r="AO62" s="33">
        <v>250000</v>
      </c>
      <c r="AP62" s="67">
        <f t="shared" si="31"/>
        <v>250000</v>
      </c>
      <c r="AQ62" s="34">
        <f t="shared" si="32"/>
        <v>100</v>
      </c>
      <c r="AR62" s="67">
        <f t="shared" si="33"/>
        <v>250000</v>
      </c>
      <c r="AS62" s="34">
        <f t="shared" si="34"/>
        <v>100</v>
      </c>
      <c r="AT62" s="28">
        <f t="shared" si="35"/>
        <v>159.95</v>
      </c>
      <c r="AU62" s="28">
        <f t="shared" si="36"/>
        <v>195.4</v>
      </c>
      <c r="AV62" s="28">
        <f t="shared" si="37"/>
        <v>355.35</v>
      </c>
      <c r="AW62" s="24">
        <f t="shared" si="38"/>
        <v>4</v>
      </c>
      <c r="AX62" s="24">
        <f t="shared" si="39"/>
        <v>0</v>
      </c>
      <c r="AY62" s="24">
        <f t="shared" si="40"/>
        <v>4</v>
      </c>
      <c r="AZ62" s="156">
        <f t="shared" si="41"/>
        <v>52272</v>
      </c>
      <c r="BA62" s="35">
        <f t="shared" si="42"/>
        <v>0.209088</v>
      </c>
      <c r="BB62" s="35">
        <f t="shared" si="43"/>
        <v>34.279977599999995</v>
      </c>
      <c r="BC62" s="36">
        <f t="shared" si="44"/>
        <v>40.855795199999996</v>
      </c>
      <c r="BD62" s="36">
        <f t="shared" si="45"/>
        <v>75.13577279999998</v>
      </c>
      <c r="BE62" s="36" t="str">
        <f t="shared" si="46"/>
        <v>yes</v>
      </c>
      <c r="BF62" s="37">
        <f t="shared" si="47"/>
        <v>0.209088</v>
      </c>
      <c r="BG62" s="37">
        <f t="shared" si="48"/>
        <v>33.4436256</v>
      </c>
      <c r="BH62" s="36">
        <f t="shared" si="49"/>
        <v>40.855795199999996</v>
      </c>
      <c r="BI62" s="38">
        <f t="shared" si="50"/>
        <v>74.2994208</v>
      </c>
      <c r="BJ62" s="1" t="str">
        <f t="shared" si="51"/>
        <v>yes</v>
      </c>
      <c r="BK62" s="37">
        <f t="shared" si="57"/>
        <v>0.836351999999998</v>
      </c>
      <c r="BL62" s="37">
        <f t="shared" si="58"/>
        <v>0</v>
      </c>
      <c r="BM62" s="7">
        <f t="shared" si="54"/>
        <v>0.8363519999999909</v>
      </c>
      <c r="BN62" s="7">
        <f t="shared" si="55"/>
        <v>0</v>
      </c>
    </row>
    <row r="63" spans="2:66" ht="18" customHeight="1">
      <c r="B63" s="4" t="s">
        <v>12</v>
      </c>
      <c r="C63" s="4" t="s">
        <v>95</v>
      </c>
      <c r="D63" s="205" t="s">
        <v>190</v>
      </c>
      <c r="E63" s="192" t="s">
        <v>133</v>
      </c>
      <c r="F63" s="79">
        <f t="shared" si="14"/>
        <v>52272</v>
      </c>
      <c r="G63" s="80">
        <f t="shared" si="15"/>
        <v>40</v>
      </c>
      <c r="H63" s="149">
        <f t="shared" si="16"/>
        <v>4</v>
      </c>
      <c r="I63" s="150">
        <f t="shared" si="17"/>
        <v>68.9572224</v>
      </c>
      <c r="J63" s="83">
        <f t="shared" si="18"/>
        <v>73.2539808</v>
      </c>
      <c r="K63" s="84">
        <f t="shared" si="19"/>
        <v>69.90857279999999</v>
      </c>
      <c r="L63" s="151">
        <f t="shared" si="20"/>
        <v>32.3981856</v>
      </c>
      <c r="M63" s="152">
        <f t="shared" si="21"/>
        <v>29.052777599999995</v>
      </c>
      <c r="N63" s="188">
        <f t="shared" si="22"/>
        <v>-0.10325911584382064</v>
      </c>
      <c r="O63" s="153">
        <f t="shared" si="23"/>
        <v>40.855795199999996</v>
      </c>
      <c r="P63" s="154">
        <f t="shared" si="24"/>
        <v>40.855795199999996</v>
      </c>
      <c r="Q63" s="176">
        <f t="shared" si="25"/>
        <v>0</v>
      </c>
      <c r="R63" s="100">
        <f t="shared" si="26"/>
        <v>-3.345408000000006</v>
      </c>
      <c r="S63" s="184">
        <f t="shared" si="27"/>
        <v>-0.04566861709718861</v>
      </c>
      <c r="U63" s="208" t="s">
        <v>95</v>
      </c>
      <c r="V63" s="4" t="s">
        <v>12</v>
      </c>
      <c r="X63" s="155">
        <v>142.9</v>
      </c>
      <c r="Y63" s="155">
        <v>154.95</v>
      </c>
      <c r="Z63" s="155">
        <v>138.95</v>
      </c>
      <c r="AA63" s="155">
        <v>186.9</v>
      </c>
      <c r="AB63" s="155"/>
      <c r="AC63" s="161">
        <v>195.4</v>
      </c>
      <c r="AD63" s="155"/>
      <c r="AE63" s="161">
        <v>195.4</v>
      </c>
      <c r="AF63" s="155"/>
      <c r="AG63" s="32">
        <f t="shared" si="28"/>
        <v>329.8</v>
      </c>
      <c r="AH63" s="32">
        <f t="shared" si="29"/>
        <v>350.35</v>
      </c>
      <c r="AI63" s="32">
        <f t="shared" si="30"/>
        <v>334.35</v>
      </c>
      <c r="AJ63" s="33"/>
      <c r="AK63" s="33">
        <v>250000</v>
      </c>
      <c r="AL63" s="33"/>
      <c r="AM63" s="33">
        <v>250000</v>
      </c>
      <c r="AN63" s="33"/>
      <c r="AO63" s="33">
        <v>250000</v>
      </c>
      <c r="AP63" s="67">
        <f t="shared" si="31"/>
        <v>250000</v>
      </c>
      <c r="AQ63" s="34">
        <f t="shared" si="32"/>
        <v>100</v>
      </c>
      <c r="AR63" s="67">
        <f t="shared" si="33"/>
        <v>250000</v>
      </c>
      <c r="AS63" s="34">
        <f t="shared" si="34"/>
        <v>100</v>
      </c>
      <c r="AT63" s="28">
        <f t="shared" si="35"/>
        <v>154.95</v>
      </c>
      <c r="AU63" s="28">
        <f t="shared" si="36"/>
        <v>195.4</v>
      </c>
      <c r="AV63" s="28">
        <f t="shared" si="37"/>
        <v>350.35</v>
      </c>
      <c r="AW63" s="24">
        <f t="shared" si="38"/>
        <v>-16</v>
      </c>
      <c r="AX63" s="24">
        <f t="shared" si="39"/>
        <v>0</v>
      </c>
      <c r="AY63" s="24">
        <f t="shared" si="40"/>
        <v>-16</v>
      </c>
      <c r="AZ63" s="156">
        <f t="shared" si="41"/>
        <v>52272</v>
      </c>
      <c r="BA63" s="35">
        <f t="shared" si="42"/>
        <v>0.209088</v>
      </c>
      <c r="BB63" s="35">
        <f t="shared" si="43"/>
        <v>29.052777599999995</v>
      </c>
      <c r="BC63" s="36">
        <f t="shared" si="44"/>
        <v>40.855795199999996</v>
      </c>
      <c r="BD63" s="36">
        <f t="shared" si="45"/>
        <v>69.90857279999999</v>
      </c>
      <c r="BE63" s="36" t="str">
        <f t="shared" si="46"/>
        <v>yes</v>
      </c>
      <c r="BF63" s="37">
        <f t="shared" si="47"/>
        <v>0.209088</v>
      </c>
      <c r="BG63" s="37">
        <f t="shared" si="48"/>
        <v>32.3981856</v>
      </c>
      <c r="BH63" s="36">
        <f t="shared" si="49"/>
        <v>40.855795199999996</v>
      </c>
      <c r="BI63" s="38">
        <f t="shared" si="50"/>
        <v>73.2539808</v>
      </c>
      <c r="BJ63" s="1" t="str">
        <f t="shared" si="51"/>
        <v>yes</v>
      </c>
      <c r="BK63" s="37">
        <f t="shared" si="57"/>
        <v>-3.3454080000000026</v>
      </c>
      <c r="BL63" s="37">
        <f t="shared" si="58"/>
        <v>0</v>
      </c>
      <c r="BM63" s="7">
        <f t="shared" si="54"/>
        <v>-3.345408000000006</v>
      </c>
      <c r="BN63" s="7">
        <f t="shared" si="55"/>
        <v>0</v>
      </c>
    </row>
    <row r="64" spans="2:66" ht="18" customHeight="1">
      <c r="B64" s="4" t="s">
        <v>12</v>
      </c>
      <c r="C64" s="4" t="s">
        <v>141</v>
      </c>
      <c r="D64" s="157" t="s">
        <v>190</v>
      </c>
      <c r="E64" s="158" t="s">
        <v>28</v>
      </c>
      <c r="F64" s="79">
        <f t="shared" si="14"/>
        <v>52272</v>
      </c>
      <c r="G64" s="80">
        <f t="shared" si="15"/>
        <v>40</v>
      </c>
      <c r="H64" s="149">
        <f t="shared" si="16"/>
        <v>4</v>
      </c>
      <c r="I64" s="150">
        <f t="shared" si="17"/>
        <v>68.9572224</v>
      </c>
      <c r="J64" s="83">
        <f t="shared" si="18"/>
        <v>73.2539808</v>
      </c>
      <c r="K64" s="84">
        <f t="shared" si="19"/>
        <v>73.2539808</v>
      </c>
      <c r="L64" s="151">
        <f t="shared" si="20"/>
        <v>32.3981856</v>
      </c>
      <c r="M64" s="152">
        <f t="shared" si="21"/>
        <v>32.3981856</v>
      </c>
      <c r="N64" s="188">
        <f t="shared" si="22"/>
        <v>0</v>
      </c>
      <c r="O64" s="153">
        <f t="shared" si="23"/>
        <v>40.855795199999996</v>
      </c>
      <c r="P64" s="154">
        <f t="shared" si="24"/>
        <v>40.855795199999996</v>
      </c>
      <c r="Q64" s="176">
        <f t="shared" si="25"/>
        <v>0</v>
      </c>
      <c r="R64" s="100">
        <f t="shared" si="26"/>
        <v>0</v>
      </c>
      <c r="S64" s="184">
        <f t="shared" si="27"/>
        <v>0</v>
      </c>
      <c r="U64" s="208" t="s">
        <v>95</v>
      </c>
      <c r="V64" s="4" t="s">
        <v>12</v>
      </c>
      <c r="X64" s="155">
        <v>142.9</v>
      </c>
      <c r="Y64" s="155">
        <v>154.95</v>
      </c>
      <c r="Z64" s="155">
        <v>154.95</v>
      </c>
      <c r="AA64" s="155">
        <v>186.9</v>
      </c>
      <c r="AB64" s="155"/>
      <c r="AC64" s="161">
        <v>195.4</v>
      </c>
      <c r="AD64" s="155"/>
      <c r="AE64" s="161">
        <v>195.4</v>
      </c>
      <c r="AF64" s="155"/>
      <c r="AG64" s="32">
        <f t="shared" si="28"/>
        <v>329.8</v>
      </c>
      <c r="AH64" s="32">
        <f t="shared" si="29"/>
        <v>350.35</v>
      </c>
      <c r="AI64" s="32">
        <f t="shared" si="30"/>
        <v>350.35</v>
      </c>
      <c r="AJ64" s="33"/>
      <c r="AK64" s="33">
        <v>250000</v>
      </c>
      <c r="AL64" s="33"/>
      <c r="AM64" s="33">
        <v>250000</v>
      </c>
      <c r="AN64" s="33"/>
      <c r="AO64" s="33">
        <v>250000</v>
      </c>
      <c r="AP64" s="67">
        <f t="shared" si="31"/>
        <v>250000</v>
      </c>
      <c r="AQ64" s="34">
        <f t="shared" si="32"/>
        <v>100</v>
      </c>
      <c r="AR64" s="67">
        <f t="shared" si="33"/>
        <v>250000</v>
      </c>
      <c r="AS64" s="34">
        <f t="shared" si="34"/>
        <v>100</v>
      </c>
      <c r="AT64" s="28">
        <f t="shared" si="35"/>
        <v>154.95</v>
      </c>
      <c r="AU64" s="28">
        <f t="shared" si="36"/>
        <v>195.4</v>
      </c>
      <c r="AV64" s="28">
        <f t="shared" si="37"/>
        <v>350.35</v>
      </c>
      <c r="AW64" s="24">
        <f t="shared" si="38"/>
        <v>0</v>
      </c>
      <c r="AX64" s="24">
        <f t="shared" si="39"/>
        <v>0</v>
      </c>
      <c r="AY64" s="24">
        <f t="shared" si="40"/>
        <v>0</v>
      </c>
      <c r="AZ64" s="156">
        <f t="shared" si="41"/>
        <v>52272</v>
      </c>
      <c r="BA64" s="35">
        <f t="shared" si="42"/>
        <v>0.209088</v>
      </c>
      <c r="BB64" s="35">
        <f t="shared" si="43"/>
        <v>32.3981856</v>
      </c>
      <c r="BC64" s="36">
        <f t="shared" si="44"/>
        <v>40.855795199999996</v>
      </c>
      <c r="BD64" s="36">
        <f t="shared" si="45"/>
        <v>73.2539808</v>
      </c>
      <c r="BE64" s="36" t="str">
        <f t="shared" si="46"/>
        <v>yes</v>
      </c>
      <c r="BF64" s="37">
        <f t="shared" si="47"/>
        <v>0.209088</v>
      </c>
      <c r="BG64" s="37">
        <f t="shared" si="48"/>
        <v>32.3981856</v>
      </c>
      <c r="BH64" s="36">
        <f t="shared" si="49"/>
        <v>40.855795199999996</v>
      </c>
      <c r="BI64" s="38">
        <f t="shared" si="50"/>
        <v>73.2539808</v>
      </c>
      <c r="BJ64" s="1" t="str">
        <f t="shared" si="51"/>
        <v>yes</v>
      </c>
      <c r="BK64" s="37">
        <f t="shared" si="57"/>
        <v>0</v>
      </c>
      <c r="BL64" s="37">
        <f t="shared" si="58"/>
        <v>0</v>
      </c>
      <c r="BM64" s="7">
        <f t="shared" si="54"/>
        <v>0</v>
      </c>
      <c r="BN64" s="7">
        <f t="shared" si="55"/>
        <v>0</v>
      </c>
    </row>
    <row r="65" spans="2:66" ht="18" customHeight="1">
      <c r="B65" s="4" t="s">
        <v>12</v>
      </c>
      <c r="C65" s="4" t="s">
        <v>95</v>
      </c>
      <c r="D65" s="157" t="s">
        <v>190</v>
      </c>
      <c r="E65" s="158" t="s">
        <v>134</v>
      </c>
      <c r="F65" s="79">
        <f t="shared" si="14"/>
        <v>52272</v>
      </c>
      <c r="G65" s="80">
        <f t="shared" si="15"/>
        <v>40</v>
      </c>
      <c r="H65" s="149">
        <f t="shared" si="16"/>
        <v>4</v>
      </c>
      <c r="I65" s="150">
        <f t="shared" si="17"/>
        <v>68.9572224</v>
      </c>
      <c r="J65" s="83">
        <f t="shared" si="18"/>
        <v>73.2539808</v>
      </c>
      <c r="K65" s="84">
        <f t="shared" si="19"/>
        <v>69.90857279999999</v>
      </c>
      <c r="L65" s="151">
        <f t="shared" si="20"/>
        <v>32.3981856</v>
      </c>
      <c r="M65" s="152">
        <f t="shared" si="21"/>
        <v>29.052777599999995</v>
      </c>
      <c r="N65" s="188">
        <f t="shared" si="22"/>
        <v>-0.10325911584382064</v>
      </c>
      <c r="O65" s="153">
        <f t="shared" si="23"/>
        <v>40.855795199999996</v>
      </c>
      <c r="P65" s="154">
        <f t="shared" si="24"/>
        <v>40.855795199999996</v>
      </c>
      <c r="Q65" s="176">
        <f t="shared" si="25"/>
        <v>0</v>
      </c>
      <c r="R65" s="100">
        <f t="shared" si="26"/>
        <v>-3.345408000000006</v>
      </c>
      <c r="S65" s="184">
        <f t="shared" si="27"/>
        <v>-0.04566861709718861</v>
      </c>
      <c r="U65" s="208" t="s">
        <v>95</v>
      </c>
      <c r="V65" s="4" t="s">
        <v>12</v>
      </c>
      <c r="X65" s="155">
        <v>142.9</v>
      </c>
      <c r="Y65" s="155">
        <v>154.95</v>
      </c>
      <c r="Z65" s="155">
        <v>138.95</v>
      </c>
      <c r="AA65" s="155">
        <v>186.9</v>
      </c>
      <c r="AB65" s="155"/>
      <c r="AC65" s="161">
        <v>195.4</v>
      </c>
      <c r="AD65" s="155"/>
      <c r="AE65" s="161">
        <v>195.4</v>
      </c>
      <c r="AF65" s="155"/>
      <c r="AG65" s="32">
        <f t="shared" si="28"/>
        <v>329.8</v>
      </c>
      <c r="AH65" s="32">
        <f t="shared" si="29"/>
        <v>350.35</v>
      </c>
      <c r="AI65" s="32">
        <f t="shared" si="30"/>
        <v>334.35</v>
      </c>
      <c r="AJ65" s="33"/>
      <c r="AK65" s="33">
        <v>250000</v>
      </c>
      <c r="AL65" s="33"/>
      <c r="AM65" s="33">
        <v>250000</v>
      </c>
      <c r="AN65" s="33"/>
      <c r="AO65" s="33">
        <v>250000</v>
      </c>
      <c r="AP65" s="67">
        <f t="shared" si="31"/>
        <v>250000</v>
      </c>
      <c r="AQ65" s="34">
        <f t="shared" si="32"/>
        <v>100</v>
      </c>
      <c r="AR65" s="67">
        <f t="shared" si="33"/>
        <v>250000</v>
      </c>
      <c r="AS65" s="34">
        <f t="shared" si="34"/>
        <v>100</v>
      </c>
      <c r="AT65" s="28">
        <f t="shared" si="35"/>
        <v>154.95</v>
      </c>
      <c r="AU65" s="28">
        <f t="shared" si="36"/>
        <v>195.4</v>
      </c>
      <c r="AV65" s="28">
        <f t="shared" si="37"/>
        <v>350.35</v>
      </c>
      <c r="AW65" s="24">
        <f t="shared" si="38"/>
        <v>-16</v>
      </c>
      <c r="AX65" s="24">
        <f t="shared" si="39"/>
        <v>0</v>
      </c>
      <c r="AY65" s="24">
        <f t="shared" si="40"/>
        <v>-16</v>
      </c>
      <c r="AZ65" s="156">
        <f t="shared" si="41"/>
        <v>52272</v>
      </c>
      <c r="BA65" s="35">
        <f t="shared" si="42"/>
        <v>0.209088</v>
      </c>
      <c r="BB65" s="35">
        <f t="shared" si="43"/>
        <v>29.052777599999995</v>
      </c>
      <c r="BC65" s="36">
        <f t="shared" si="44"/>
        <v>40.855795199999996</v>
      </c>
      <c r="BD65" s="36">
        <f t="shared" si="45"/>
        <v>69.90857279999999</v>
      </c>
      <c r="BE65" s="36" t="str">
        <f t="shared" si="46"/>
        <v>yes</v>
      </c>
      <c r="BF65" s="37">
        <f t="shared" si="47"/>
        <v>0.209088</v>
      </c>
      <c r="BG65" s="37">
        <f t="shared" si="48"/>
        <v>32.3981856</v>
      </c>
      <c r="BH65" s="36">
        <f t="shared" si="49"/>
        <v>40.855795199999996</v>
      </c>
      <c r="BI65" s="38">
        <f t="shared" si="50"/>
        <v>73.2539808</v>
      </c>
      <c r="BJ65" s="1" t="str">
        <f t="shared" si="51"/>
        <v>yes</v>
      </c>
      <c r="BK65" s="37">
        <f t="shared" si="57"/>
        <v>-3.3454080000000026</v>
      </c>
      <c r="BL65" s="37">
        <f t="shared" si="58"/>
        <v>0</v>
      </c>
      <c r="BM65" s="7">
        <f t="shared" si="54"/>
        <v>-3.345408000000006</v>
      </c>
      <c r="BN65" s="7">
        <f t="shared" si="55"/>
        <v>0</v>
      </c>
    </row>
    <row r="66" spans="2:66" ht="18" customHeight="1">
      <c r="B66" s="4" t="s">
        <v>12</v>
      </c>
      <c r="C66" s="4" t="s">
        <v>95</v>
      </c>
      <c r="D66" s="157" t="s">
        <v>190</v>
      </c>
      <c r="E66" s="158" t="s">
        <v>135</v>
      </c>
      <c r="F66" s="79">
        <f t="shared" si="14"/>
        <v>52272</v>
      </c>
      <c r="G66" s="80">
        <f t="shared" si="15"/>
        <v>40</v>
      </c>
      <c r="H66" s="149">
        <f t="shared" si="16"/>
        <v>4</v>
      </c>
      <c r="I66" s="150">
        <f t="shared" si="17"/>
        <v>68.9572224</v>
      </c>
      <c r="J66" s="83">
        <f t="shared" si="18"/>
        <v>73.2539808</v>
      </c>
      <c r="K66" s="84">
        <f t="shared" si="19"/>
        <v>73.2539808</v>
      </c>
      <c r="L66" s="151">
        <f t="shared" si="20"/>
        <v>32.3981856</v>
      </c>
      <c r="M66" s="152">
        <f t="shared" si="21"/>
        <v>32.3981856</v>
      </c>
      <c r="N66" s="188">
        <f t="shared" si="22"/>
        <v>0</v>
      </c>
      <c r="O66" s="153">
        <f t="shared" si="23"/>
        <v>40.855795199999996</v>
      </c>
      <c r="P66" s="154">
        <f t="shared" si="24"/>
        <v>40.855795199999996</v>
      </c>
      <c r="Q66" s="176">
        <f t="shared" si="25"/>
        <v>0</v>
      </c>
      <c r="R66" s="100">
        <f t="shared" si="26"/>
        <v>0</v>
      </c>
      <c r="S66" s="184">
        <f t="shared" si="27"/>
        <v>0</v>
      </c>
      <c r="U66" s="208" t="s">
        <v>95</v>
      </c>
      <c r="V66" s="4" t="s">
        <v>12</v>
      </c>
      <c r="X66" s="155">
        <v>142.9</v>
      </c>
      <c r="Y66" s="155">
        <v>154.95</v>
      </c>
      <c r="Z66" s="155">
        <v>154.95</v>
      </c>
      <c r="AA66" s="155">
        <v>186.9</v>
      </c>
      <c r="AB66" s="155"/>
      <c r="AC66" s="161">
        <v>195.4</v>
      </c>
      <c r="AD66" s="155"/>
      <c r="AE66" s="161">
        <v>195.4</v>
      </c>
      <c r="AF66" s="155"/>
      <c r="AG66" s="32">
        <f t="shared" si="28"/>
        <v>329.8</v>
      </c>
      <c r="AH66" s="32">
        <f t="shared" si="29"/>
        <v>350.35</v>
      </c>
      <c r="AI66" s="32">
        <f t="shared" si="30"/>
        <v>350.35</v>
      </c>
      <c r="AJ66" s="33"/>
      <c r="AK66" s="33">
        <v>250000</v>
      </c>
      <c r="AL66" s="33"/>
      <c r="AM66" s="33">
        <v>250000</v>
      </c>
      <c r="AN66" s="33"/>
      <c r="AO66" s="33">
        <v>250000</v>
      </c>
      <c r="AP66" s="67">
        <f t="shared" si="31"/>
        <v>250000</v>
      </c>
      <c r="AQ66" s="34">
        <f t="shared" si="32"/>
        <v>100</v>
      </c>
      <c r="AR66" s="67">
        <f t="shared" si="33"/>
        <v>250000</v>
      </c>
      <c r="AS66" s="34">
        <f t="shared" si="34"/>
        <v>100</v>
      </c>
      <c r="AT66" s="28">
        <f t="shared" si="35"/>
        <v>154.95</v>
      </c>
      <c r="AU66" s="28">
        <f t="shared" si="36"/>
        <v>195.4</v>
      </c>
      <c r="AV66" s="28">
        <f t="shared" si="37"/>
        <v>350.35</v>
      </c>
      <c r="AW66" s="24">
        <f t="shared" si="38"/>
        <v>0</v>
      </c>
      <c r="AX66" s="24">
        <f t="shared" si="39"/>
        <v>0</v>
      </c>
      <c r="AY66" s="24">
        <f t="shared" si="40"/>
        <v>0</v>
      </c>
      <c r="AZ66" s="156">
        <f t="shared" si="41"/>
        <v>52272</v>
      </c>
      <c r="BA66" s="35">
        <f t="shared" si="42"/>
        <v>0.209088</v>
      </c>
      <c r="BB66" s="35">
        <f t="shared" si="43"/>
        <v>32.3981856</v>
      </c>
      <c r="BC66" s="36">
        <f t="shared" si="44"/>
        <v>40.855795199999996</v>
      </c>
      <c r="BD66" s="36">
        <f t="shared" si="45"/>
        <v>73.2539808</v>
      </c>
      <c r="BE66" s="36" t="str">
        <f t="shared" si="46"/>
        <v>yes</v>
      </c>
      <c r="BF66" s="37">
        <f t="shared" si="47"/>
        <v>0.209088</v>
      </c>
      <c r="BG66" s="37">
        <f t="shared" si="48"/>
        <v>32.3981856</v>
      </c>
      <c r="BH66" s="36">
        <f t="shared" si="49"/>
        <v>40.855795199999996</v>
      </c>
      <c r="BI66" s="38">
        <f t="shared" si="50"/>
        <v>73.2539808</v>
      </c>
      <c r="BJ66" s="1" t="str">
        <f t="shared" si="51"/>
        <v>yes</v>
      </c>
      <c r="BK66" s="37">
        <f t="shared" si="57"/>
        <v>0</v>
      </c>
      <c r="BL66" s="37">
        <f t="shared" si="58"/>
        <v>0</v>
      </c>
      <c r="BM66" s="7">
        <f t="shared" si="54"/>
        <v>0</v>
      </c>
      <c r="BN66" s="7">
        <f t="shared" si="55"/>
        <v>0</v>
      </c>
    </row>
    <row r="67" spans="3:66" ht="18" customHeight="1">
      <c r="C67" s="29"/>
      <c r="D67" s="164" t="s">
        <v>190</v>
      </c>
      <c r="E67" s="192" t="s">
        <v>42</v>
      </c>
      <c r="F67" s="79">
        <f t="shared" si="14"/>
        <v>52272</v>
      </c>
      <c r="G67" s="80">
        <f t="shared" si="15"/>
        <v>40</v>
      </c>
      <c r="H67" s="149">
        <f t="shared" si="16"/>
        <v>4</v>
      </c>
      <c r="I67" s="150">
        <f t="shared" si="17"/>
      </c>
      <c r="J67" s="83">
        <f t="shared" si="18"/>
        <v>74.2994208</v>
      </c>
      <c r="K67" s="84">
        <f t="shared" si="19"/>
        <v>75.13577279999998</v>
      </c>
      <c r="L67" s="151">
        <f t="shared" si="20"/>
        <v>33.4436256</v>
      </c>
      <c r="M67" s="152">
        <f t="shared" si="21"/>
        <v>34.279977599999995</v>
      </c>
      <c r="N67" s="188">
        <f t="shared" si="22"/>
        <v>0.025007814942169304</v>
      </c>
      <c r="O67" s="153">
        <f t="shared" si="23"/>
        <v>40.855795199999996</v>
      </c>
      <c r="P67" s="154">
        <f t="shared" si="24"/>
        <v>40.855795199999996</v>
      </c>
      <c r="Q67" s="176">
        <f t="shared" si="25"/>
        <v>0</v>
      </c>
      <c r="R67" s="100">
        <f t="shared" si="26"/>
        <v>0.8363519999999909</v>
      </c>
      <c r="S67" s="184">
        <f t="shared" si="27"/>
        <v>0.011256507668495728</v>
      </c>
      <c r="U67" s="208" t="s">
        <v>95</v>
      </c>
      <c r="V67" s="4" t="s">
        <v>12</v>
      </c>
      <c r="X67" s="39"/>
      <c r="Y67" s="39">
        <v>159.95</v>
      </c>
      <c r="Z67" s="39">
        <v>163.95</v>
      </c>
      <c r="AA67" s="161"/>
      <c r="AB67" s="39"/>
      <c r="AC67" s="161">
        <v>195.4</v>
      </c>
      <c r="AD67" s="39"/>
      <c r="AE67" s="161">
        <v>195.4</v>
      </c>
      <c r="AF67" s="39"/>
      <c r="AG67" s="32">
        <f t="shared" si="28"/>
        <v>0</v>
      </c>
      <c r="AH67" s="32">
        <f t="shared" si="29"/>
        <v>355.35</v>
      </c>
      <c r="AI67" s="32">
        <f t="shared" si="30"/>
        <v>359.35</v>
      </c>
      <c r="AJ67" s="33"/>
      <c r="AK67" s="33"/>
      <c r="AL67" s="33"/>
      <c r="AM67" s="33">
        <v>250000</v>
      </c>
      <c r="AN67" s="33"/>
      <c r="AO67" s="33">
        <v>250000</v>
      </c>
      <c r="AP67" s="67">
        <f t="shared" si="31"/>
        <v>0</v>
      </c>
      <c r="AQ67" s="34" t="str">
        <f t="shared" si="32"/>
        <v>Not Avail.</v>
      </c>
      <c r="AR67" s="67">
        <f t="shared" si="33"/>
        <v>250000</v>
      </c>
      <c r="AS67" s="34">
        <f t="shared" si="34"/>
        <v>100</v>
      </c>
      <c r="AT67" s="28">
        <f t="shared" si="35"/>
        <v>159.95</v>
      </c>
      <c r="AU67" s="28">
        <f t="shared" si="36"/>
        <v>195.4</v>
      </c>
      <c r="AV67" s="28">
        <f t="shared" si="37"/>
        <v>355.35</v>
      </c>
      <c r="AW67" s="24">
        <f t="shared" si="38"/>
        <v>4</v>
      </c>
      <c r="AX67" s="24">
        <f t="shared" si="39"/>
        <v>0</v>
      </c>
      <c r="AY67" s="24">
        <f t="shared" si="40"/>
        <v>4</v>
      </c>
      <c r="AZ67" s="156">
        <f t="shared" si="41"/>
        <v>52272</v>
      </c>
      <c r="BA67" s="35">
        <f t="shared" si="42"/>
        <v>0.209088</v>
      </c>
      <c r="BB67" s="35">
        <f t="shared" si="43"/>
        <v>34.279977599999995</v>
      </c>
      <c r="BC67" s="36">
        <f t="shared" si="44"/>
        <v>40.855795199999996</v>
      </c>
      <c r="BD67" s="36">
        <f t="shared" si="45"/>
        <v>75.13577279999998</v>
      </c>
      <c r="BE67" s="36" t="str">
        <f t="shared" si="46"/>
        <v>yes</v>
      </c>
      <c r="BF67" s="37">
        <f t="shared" si="47"/>
        <v>0.209088</v>
      </c>
      <c r="BG67" s="37">
        <f t="shared" si="48"/>
        <v>33.4436256</v>
      </c>
      <c r="BH67" s="36">
        <f t="shared" si="49"/>
        <v>40.855795199999996</v>
      </c>
      <c r="BI67" s="38">
        <f t="shared" si="50"/>
        <v>74.2994208</v>
      </c>
      <c r="BJ67" s="1" t="str">
        <f t="shared" si="51"/>
        <v>yes</v>
      </c>
      <c r="BK67" s="37">
        <f t="shared" si="57"/>
        <v>0.836351999999998</v>
      </c>
      <c r="BL67" s="37">
        <f t="shared" si="58"/>
        <v>0</v>
      </c>
      <c r="BM67" s="7">
        <f t="shared" si="54"/>
        <v>0.8363519999999909</v>
      </c>
      <c r="BN67" s="7">
        <f t="shared" si="55"/>
        <v>0</v>
      </c>
    </row>
    <row r="68" spans="3:66" ht="18" customHeight="1">
      <c r="C68" s="29"/>
      <c r="D68" s="164" t="s">
        <v>190</v>
      </c>
      <c r="E68" s="192" t="s">
        <v>43</v>
      </c>
      <c r="F68" s="79">
        <f t="shared" si="14"/>
        <v>52272</v>
      </c>
      <c r="G68" s="80">
        <f t="shared" si="15"/>
        <v>40</v>
      </c>
      <c r="H68" s="149">
        <f t="shared" si="16"/>
        <v>4</v>
      </c>
      <c r="I68" s="150">
        <f t="shared" si="17"/>
      </c>
      <c r="J68" s="83">
        <f t="shared" si="18"/>
        <v>74.2994208</v>
      </c>
      <c r="K68" s="84">
        <f t="shared" si="19"/>
        <v>75.13577279999998</v>
      </c>
      <c r="L68" s="151">
        <f t="shared" si="20"/>
        <v>33.4436256</v>
      </c>
      <c r="M68" s="152">
        <f t="shared" si="21"/>
        <v>34.279977599999995</v>
      </c>
      <c r="N68" s="188">
        <f t="shared" si="22"/>
        <v>0.025007814942169304</v>
      </c>
      <c r="O68" s="153">
        <f t="shared" si="23"/>
        <v>40.855795199999996</v>
      </c>
      <c r="P68" s="154">
        <f t="shared" si="24"/>
        <v>40.855795199999996</v>
      </c>
      <c r="Q68" s="176">
        <f t="shared" si="25"/>
        <v>0</v>
      </c>
      <c r="R68" s="100">
        <f t="shared" si="26"/>
        <v>0.8363519999999909</v>
      </c>
      <c r="S68" s="184">
        <f t="shared" si="27"/>
        <v>0.011256507668495728</v>
      </c>
      <c r="U68" s="208" t="s">
        <v>95</v>
      </c>
      <c r="V68" s="4" t="s">
        <v>12</v>
      </c>
      <c r="X68" s="39"/>
      <c r="Y68" s="39">
        <v>159.95</v>
      </c>
      <c r="Z68" s="39">
        <v>163.95</v>
      </c>
      <c r="AA68" s="161"/>
      <c r="AB68" s="39"/>
      <c r="AC68" s="161">
        <v>195.4</v>
      </c>
      <c r="AD68" s="39"/>
      <c r="AE68" s="161">
        <v>195.4</v>
      </c>
      <c r="AF68" s="39"/>
      <c r="AG68" s="32">
        <f t="shared" si="28"/>
        <v>0</v>
      </c>
      <c r="AH68" s="32">
        <f t="shared" si="29"/>
        <v>355.35</v>
      </c>
      <c r="AI68" s="32">
        <f t="shared" si="30"/>
        <v>359.35</v>
      </c>
      <c r="AJ68" s="33"/>
      <c r="AK68" s="33"/>
      <c r="AL68" s="33"/>
      <c r="AM68" s="33">
        <v>250000</v>
      </c>
      <c r="AN68" s="33"/>
      <c r="AO68" s="33">
        <v>250000</v>
      </c>
      <c r="AP68" s="67">
        <f t="shared" si="31"/>
        <v>0</v>
      </c>
      <c r="AQ68" s="34" t="str">
        <f t="shared" si="32"/>
        <v>Not Avail.</v>
      </c>
      <c r="AR68" s="67">
        <f t="shared" si="33"/>
        <v>250000</v>
      </c>
      <c r="AS68" s="34">
        <f t="shared" si="34"/>
        <v>100</v>
      </c>
      <c r="AT68" s="28">
        <f t="shared" si="35"/>
        <v>159.95</v>
      </c>
      <c r="AU68" s="28">
        <f t="shared" si="36"/>
        <v>195.4</v>
      </c>
      <c r="AV68" s="28">
        <f t="shared" si="37"/>
        <v>355.35</v>
      </c>
      <c r="AW68" s="24">
        <f t="shared" si="38"/>
        <v>4</v>
      </c>
      <c r="AX68" s="24">
        <f t="shared" si="39"/>
        <v>0</v>
      </c>
      <c r="AY68" s="24">
        <f t="shared" si="40"/>
        <v>4</v>
      </c>
      <c r="AZ68" s="156">
        <f t="shared" si="41"/>
        <v>52272</v>
      </c>
      <c r="BA68" s="35">
        <f t="shared" si="42"/>
        <v>0.209088</v>
      </c>
      <c r="BB68" s="35">
        <f t="shared" si="43"/>
        <v>34.279977599999995</v>
      </c>
      <c r="BC68" s="36">
        <f t="shared" si="44"/>
        <v>40.855795199999996</v>
      </c>
      <c r="BD68" s="36">
        <f t="shared" si="45"/>
        <v>75.13577279999998</v>
      </c>
      <c r="BE68" s="36" t="str">
        <f t="shared" si="46"/>
        <v>yes</v>
      </c>
      <c r="BF68" s="37">
        <f t="shared" si="47"/>
        <v>0.209088</v>
      </c>
      <c r="BG68" s="37">
        <f t="shared" si="48"/>
        <v>33.4436256</v>
      </c>
      <c r="BH68" s="36">
        <f t="shared" si="49"/>
        <v>40.855795199999996</v>
      </c>
      <c r="BI68" s="38">
        <f t="shared" si="50"/>
        <v>74.2994208</v>
      </c>
      <c r="BJ68" s="1" t="str">
        <f t="shared" si="51"/>
        <v>yes</v>
      </c>
      <c r="BK68" s="37">
        <f t="shared" si="57"/>
        <v>0.836351999999998</v>
      </c>
      <c r="BL68" s="37">
        <f t="shared" si="58"/>
        <v>0</v>
      </c>
      <c r="BM68" s="7">
        <f t="shared" si="54"/>
        <v>0.8363519999999909</v>
      </c>
      <c r="BN68" s="7">
        <f t="shared" si="55"/>
        <v>0</v>
      </c>
    </row>
    <row r="69" spans="3:66" ht="18" customHeight="1">
      <c r="C69" s="29"/>
      <c r="D69" s="164" t="s">
        <v>190</v>
      </c>
      <c r="E69" s="192" t="s">
        <v>44</v>
      </c>
      <c r="F69" s="79">
        <f t="shared" si="14"/>
        <v>52272</v>
      </c>
      <c r="G69" s="80">
        <f t="shared" si="15"/>
        <v>40</v>
      </c>
      <c r="H69" s="149">
        <f t="shared" si="16"/>
        <v>4</v>
      </c>
      <c r="I69" s="150">
        <f t="shared" si="17"/>
      </c>
      <c r="J69" s="83">
        <f t="shared" si="18"/>
        <v>73.2539808</v>
      </c>
      <c r="K69" s="84">
        <f t="shared" si="19"/>
        <v>73.2539808</v>
      </c>
      <c r="L69" s="151">
        <f t="shared" si="20"/>
        <v>32.3981856</v>
      </c>
      <c r="M69" s="152">
        <f t="shared" si="21"/>
        <v>32.3981856</v>
      </c>
      <c r="N69" s="188">
        <f t="shared" si="22"/>
        <v>0</v>
      </c>
      <c r="O69" s="153">
        <f t="shared" si="23"/>
        <v>40.855795199999996</v>
      </c>
      <c r="P69" s="154">
        <f t="shared" si="24"/>
        <v>40.855795199999996</v>
      </c>
      <c r="Q69" s="176">
        <f t="shared" si="25"/>
        <v>0</v>
      </c>
      <c r="R69" s="100">
        <f t="shared" si="26"/>
        <v>0</v>
      </c>
      <c r="S69" s="184">
        <f t="shared" si="27"/>
        <v>0</v>
      </c>
      <c r="U69" s="208" t="s">
        <v>95</v>
      </c>
      <c r="V69" s="4" t="s">
        <v>12</v>
      </c>
      <c r="X69" s="39"/>
      <c r="Y69" s="39">
        <v>154.95</v>
      </c>
      <c r="Z69" s="39">
        <v>154.95</v>
      </c>
      <c r="AA69" s="161"/>
      <c r="AB69" s="39"/>
      <c r="AC69" s="161">
        <v>195.4</v>
      </c>
      <c r="AD69" s="39"/>
      <c r="AE69" s="161">
        <v>195.4</v>
      </c>
      <c r="AF69" s="39"/>
      <c r="AG69" s="32">
        <f t="shared" si="28"/>
        <v>0</v>
      </c>
      <c r="AH69" s="32">
        <f t="shared" si="29"/>
        <v>350.35</v>
      </c>
      <c r="AI69" s="32">
        <f t="shared" si="30"/>
        <v>350.35</v>
      </c>
      <c r="AJ69" s="33"/>
      <c r="AK69" s="33"/>
      <c r="AL69" s="33"/>
      <c r="AM69" s="33">
        <v>250000</v>
      </c>
      <c r="AN69" s="33"/>
      <c r="AO69" s="33">
        <v>250000</v>
      </c>
      <c r="AP69" s="67">
        <f t="shared" si="31"/>
        <v>0</v>
      </c>
      <c r="AQ69" s="34" t="str">
        <f t="shared" si="32"/>
        <v>Not Avail.</v>
      </c>
      <c r="AR69" s="67">
        <f t="shared" si="33"/>
        <v>250000</v>
      </c>
      <c r="AS69" s="34">
        <f t="shared" si="34"/>
        <v>100</v>
      </c>
      <c r="AT69" s="28">
        <f t="shared" si="35"/>
        <v>154.95</v>
      </c>
      <c r="AU69" s="28">
        <f t="shared" si="36"/>
        <v>195.4</v>
      </c>
      <c r="AV69" s="28">
        <f t="shared" si="37"/>
        <v>350.35</v>
      </c>
      <c r="AW69" s="24">
        <f t="shared" si="38"/>
        <v>0</v>
      </c>
      <c r="AX69" s="24">
        <f t="shared" si="39"/>
        <v>0</v>
      </c>
      <c r="AY69" s="24">
        <f t="shared" si="40"/>
        <v>0</v>
      </c>
      <c r="AZ69" s="156">
        <f t="shared" si="41"/>
        <v>52272</v>
      </c>
      <c r="BA69" s="35">
        <f t="shared" si="42"/>
        <v>0.209088</v>
      </c>
      <c r="BB69" s="35">
        <f t="shared" si="43"/>
        <v>32.3981856</v>
      </c>
      <c r="BC69" s="36">
        <f t="shared" si="44"/>
        <v>40.855795199999996</v>
      </c>
      <c r="BD69" s="36">
        <f t="shared" si="45"/>
        <v>73.2539808</v>
      </c>
      <c r="BE69" s="36" t="str">
        <f t="shared" si="46"/>
        <v>yes</v>
      </c>
      <c r="BF69" s="37">
        <f t="shared" si="47"/>
        <v>0.209088</v>
      </c>
      <c r="BG69" s="37">
        <f t="shared" si="48"/>
        <v>32.3981856</v>
      </c>
      <c r="BH69" s="36">
        <f t="shared" si="49"/>
        <v>40.855795199999996</v>
      </c>
      <c r="BI69" s="38">
        <f t="shared" si="50"/>
        <v>73.2539808</v>
      </c>
      <c r="BJ69" s="1" t="str">
        <f t="shared" si="51"/>
        <v>yes</v>
      </c>
      <c r="BK69" s="37">
        <f t="shared" si="57"/>
        <v>0</v>
      </c>
      <c r="BL69" s="37">
        <f t="shared" si="58"/>
        <v>0</v>
      </c>
      <c r="BM69" s="7">
        <f t="shared" si="54"/>
        <v>0</v>
      </c>
      <c r="BN69" s="7">
        <f t="shared" si="55"/>
        <v>0</v>
      </c>
    </row>
    <row r="70" spans="2:66" ht="18" customHeight="1">
      <c r="B70" s="4" t="s">
        <v>12</v>
      </c>
      <c r="C70" s="4" t="s">
        <v>95</v>
      </c>
      <c r="D70" s="157" t="s">
        <v>190</v>
      </c>
      <c r="E70" s="158" t="s">
        <v>29</v>
      </c>
      <c r="F70" s="79">
        <f t="shared" si="14"/>
        <v>52272</v>
      </c>
      <c r="G70" s="80">
        <f t="shared" si="15"/>
        <v>40</v>
      </c>
      <c r="H70" s="149">
        <f t="shared" si="16"/>
        <v>4</v>
      </c>
      <c r="I70" s="150">
        <f t="shared" si="17"/>
        <v>66.87679680000001</v>
      </c>
      <c r="J70" s="83">
        <f t="shared" si="18"/>
        <v>70.1176608</v>
      </c>
      <c r="K70" s="84">
        <f t="shared" si="19"/>
        <v>69.90857279999999</v>
      </c>
      <c r="L70" s="151">
        <f t="shared" si="20"/>
        <v>29.261865599999997</v>
      </c>
      <c r="M70" s="152">
        <f t="shared" si="21"/>
        <v>29.052777599999995</v>
      </c>
      <c r="N70" s="188">
        <f t="shared" si="22"/>
        <v>-0.00714540907466954</v>
      </c>
      <c r="O70" s="153">
        <f t="shared" si="23"/>
        <v>40.855795199999996</v>
      </c>
      <c r="P70" s="154">
        <f t="shared" si="24"/>
        <v>40.855795199999996</v>
      </c>
      <c r="Q70" s="176">
        <f t="shared" si="25"/>
        <v>0</v>
      </c>
      <c r="R70" s="100">
        <f t="shared" si="26"/>
        <v>-0.20908800000000838</v>
      </c>
      <c r="S70" s="184">
        <f t="shared" si="27"/>
        <v>-0.0029819591471598036</v>
      </c>
      <c r="U70" s="208" t="s">
        <v>95</v>
      </c>
      <c r="V70" s="4" t="s">
        <v>12</v>
      </c>
      <c r="X70" s="162">
        <v>132.95</v>
      </c>
      <c r="Y70" s="162">
        <v>139.95</v>
      </c>
      <c r="Z70" s="162">
        <v>138.95</v>
      </c>
      <c r="AA70" s="155">
        <v>186.9</v>
      </c>
      <c r="AB70" s="31"/>
      <c r="AC70" s="161">
        <v>195.4</v>
      </c>
      <c r="AD70" s="31"/>
      <c r="AE70" s="161">
        <v>195.4</v>
      </c>
      <c r="AF70" s="31"/>
      <c r="AG70" s="32">
        <f t="shared" si="28"/>
        <v>319.85</v>
      </c>
      <c r="AH70" s="32">
        <f t="shared" si="29"/>
        <v>335.35</v>
      </c>
      <c r="AI70" s="32">
        <f t="shared" si="30"/>
        <v>334.35</v>
      </c>
      <c r="AJ70" s="33"/>
      <c r="AK70" s="33">
        <v>250000</v>
      </c>
      <c r="AL70" s="33"/>
      <c r="AM70" s="33">
        <v>250000</v>
      </c>
      <c r="AN70" s="33"/>
      <c r="AO70" s="33">
        <v>250000</v>
      </c>
      <c r="AP70" s="67">
        <f t="shared" si="31"/>
        <v>250000</v>
      </c>
      <c r="AQ70" s="34">
        <f t="shared" si="32"/>
        <v>100</v>
      </c>
      <c r="AR70" s="67">
        <f t="shared" si="33"/>
        <v>250000</v>
      </c>
      <c r="AS70" s="34">
        <f t="shared" si="34"/>
        <v>100</v>
      </c>
      <c r="AT70" s="28">
        <f t="shared" si="35"/>
        <v>139.95</v>
      </c>
      <c r="AU70" s="28">
        <f t="shared" si="36"/>
        <v>195.4</v>
      </c>
      <c r="AV70" s="28">
        <f t="shared" si="37"/>
        <v>335.35</v>
      </c>
      <c r="AW70" s="24">
        <f t="shared" si="38"/>
        <v>-1</v>
      </c>
      <c r="AX70" s="24">
        <f t="shared" si="39"/>
        <v>0</v>
      </c>
      <c r="AY70" s="24">
        <f t="shared" si="40"/>
        <v>-1</v>
      </c>
      <c r="AZ70" s="156">
        <f t="shared" si="41"/>
        <v>52272</v>
      </c>
      <c r="BA70" s="35">
        <f t="shared" si="42"/>
        <v>0.209088</v>
      </c>
      <c r="BB70" s="35">
        <f t="shared" si="43"/>
        <v>29.052777599999995</v>
      </c>
      <c r="BC70" s="36">
        <f t="shared" si="44"/>
        <v>40.855795199999996</v>
      </c>
      <c r="BD70" s="36">
        <f t="shared" si="45"/>
        <v>69.90857279999999</v>
      </c>
      <c r="BE70" s="36" t="str">
        <f t="shared" si="46"/>
        <v>yes</v>
      </c>
      <c r="BF70" s="37">
        <f t="shared" si="47"/>
        <v>0.209088</v>
      </c>
      <c r="BG70" s="37">
        <f t="shared" si="48"/>
        <v>29.261865599999997</v>
      </c>
      <c r="BH70" s="36">
        <f t="shared" si="49"/>
        <v>40.855795199999996</v>
      </c>
      <c r="BI70" s="38">
        <f t="shared" si="50"/>
        <v>70.1176608</v>
      </c>
      <c r="BJ70" s="1" t="str">
        <f t="shared" si="51"/>
        <v>yes</v>
      </c>
      <c r="BK70" s="37">
        <f t="shared" si="57"/>
        <v>-0.20908800000000127</v>
      </c>
      <c r="BL70" s="37">
        <f t="shared" si="58"/>
        <v>0</v>
      </c>
      <c r="BM70" s="7">
        <f t="shared" si="54"/>
        <v>-0.20908800000000838</v>
      </c>
      <c r="BN70" s="7">
        <f t="shared" si="55"/>
        <v>0</v>
      </c>
    </row>
    <row r="71" spans="3:66" ht="18" customHeight="1">
      <c r="C71" s="29"/>
      <c r="D71" s="164" t="s">
        <v>190</v>
      </c>
      <c r="E71" s="192" t="s">
        <v>45</v>
      </c>
      <c r="F71" s="79">
        <f t="shared" si="14"/>
        <v>52272</v>
      </c>
      <c r="G71" s="80">
        <f t="shared" si="15"/>
        <v>40</v>
      </c>
      <c r="H71" s="149">
        <f t="shared" si="16"/>
        <v>4</v>
      </c>
      <c r="I71" s="150">
        <f t="shared" si="17"/>
      </c>
      <c r="J71" s="83">
        <f t="shared" si="18"/>
        <v>71.99945279999999</v>
      </c>
      <c r="K71" s="84">
        <f t="shared" si="19"/>
        <v>69.90857279999999</v>
      </c>
      <c r="L71" s="151">
        <f t="shared" si="20"/>
        <v>31.143657599999994</v>
      </c>
      <c r="M71" s="152">
        <f t="shared" si="21"/>
        <v>29.052777599999995</v>
      </c>
      <c r="N71" s="188">
        <f t="shared" si="22"/>
        <v>-0.06713662302786172</v>
      </c>
      <c r="O71" s="153">
        <f t="shared" si="23"/>
        <v>40.855795199999996</v>
      </c>
      <c r="P71" s="154">
        <f t="shared" si="24"/>
        <v>40.855795199999996</v>
      </c>
      <c r="Q71" s="176">
        <f t="shared" si="25"/>
        <v>0</v>
      </c>
      <c r="R71" s="100">
        <f t="shared" si="26"/>
        <v>-2.0908799999999985</v>
      </c>
      <c r="S71" s="184">
        <f t="shared" si="27"/>
        <v>-0.02904022070567735</v>
      </c>
      <c r="U71" s="208" t="s">
        <v>95</v>
      </c>
      <c r="V71" s="4" t="s">
        <v>12</v>
      </c>
      <c r="X71" s="39"/>
      <c r="Y71" s="39">
        <v>148.95</v>
      </c>
      <c r="Z71" s="39">
        <v>138.95</v>
      </c>
      <c r="AA71" s="161"/>
      <c r="AB71" s="39"/>
      <c r="AC71" s="161">
        <v>195.4</v>
      </c>
      <c r="AD71" s="39"/>
      <c r="AE71" s="161">
        <v>195.4</v>
      </c>
      <c r="AF71" s="39"/>
      <c r="AG71" s="32">
        <f t="shared" si="28"/>
        <v>0</v>
      </c>
      <c r="AH71" s="32">
        <f t="shared" si="29"/>
        <v>344.35</v>
      </c>
      <c r="AI71" s="32">
        <f t="shared" si="30"/>
        <v>334.35</v>
      </c>
      <c r="AJ71" s="33"/>
      <c r="AK71" s="33"/>
      <c r="AL71" s="33"/>
      <c r="AM71" s="33">
        <v>250000</v>
      </c>
      <c r="AN71" s="33"/>
      <c r="AO71" s="33">
        <v>250000</v>
      </c>
      <c r="AP71" s="67">
        <f t="shared" si="31"/>
        <v>0</v>
      </c>
      <c r="AQ71" s="34" t="str">
        <f t="shared" si="32"/>
        <v>Not Avail.</v>
      </c>
      <c r="AR71" s="67">
        <f t="shared" si="33"/>
        <v>250000</v>
      </c>
      <c r="AS71" s="34">
        <f t="shared" si="34"/>
        <v>100</v>
      </c>
      <c r="AT71" s="28">
        <f t="shared" si="35"/>
        <v>148.95</v>
      </c>
      <c r="AU71" s="28">
        <f t="shared" si="36"/>
        <v>195.4</v>
      </c>
      <c r="AV71" s="28">
        <f t="shared" si="37"/>
        <v>344.35</v>
      </c>
      <c r="AW71" s="24">
        <f t="shared" si="38"/>
        <v>-10</v>
      </c>
      <c r="AX71" s="24">
        <f t="shared" si="39"/>
        <v>0</v>
      </c>
      <c r="AY71" s="24">
        <f t="shared" si="40"/>
        <v>-10</v>
      </c>
      <c r="AZ71" s="156">
        <f t="shared" si="41"/>
        <v>52272</v>
      </c>
      <c r="BA71" s="35">
        <f t="shared" si="42"/>
        <v>0.209088</v>
      </c>
      <c r="BB71" s="35">
        <f t="shared" si="43"/>
        <v>29.052777599999995</v>
      </c>
      <c r="BC71" s="36">
        <f t="shared" si="44"/>
        <v>40.855795199999996</v>
      </c>
      <c r="BD71" s="36">
        <f t="shared" si="45"/>
        <v>69.90857279999999</v>
      </c>
      <c r="BE71" s="36" t="str">
        <f t="shared" si="46"/>
        <v>yes</v>
      </c>
      <c r="BF71" s="37">
        <f t="shared" si="47"/>
        <v>0.209088</v>
      </c>
      <c r="BG71" s="37">
        <f t="shared" si="48"/>
        <v>31.143657599999994</v>
      </c>
      <c r="BH71" s="36">
        <f t="shared" si="49"/>
        <v>40.855795199999996</v>
      </c>
      <c r="BI71" s="38">
        <f t="shared" si="50"/>
        <v>71.99945279999999</v>
      </c>
      <c r="BJ71" s="1" t="str">
        <f t="shared" si="51"/>
        <v>yes</v>
      </c>
      <c r="BK71" s="37">
        <f t="shared" si="57"/>
        <v>-2.0908799999999985</v>
      </c>
      <c r="BL71" s="37">
        <f t="shared" si="58"/>
        <v>0</v>
      </c>
      <c r="BM71" s="7">
        <f t="shared" si="54"/>
        <v>-2.0908799999999985</v>
      </c>
      <c r="BN71" s="7">
        <f t="shared" si="55"/>
        <v>0</v>
      </c>
    </row>
    <row r="72" spans="3:66" ht="18" customHeight="1">
      <c r="C72" s="29"/>
      <c r="D72" s="164" t="s">
        <v>190</v>
      </c>
      <c r="E72" s="192" t="s">
        <v>46</v>
      </c>
      <c r="F72" s="79">
        <f aca="true" t="shared" si="59" ref="F72:F98">IF($J$11&gt;0,$J$11,$M$11)</f>
        <v>52272</v>
      </c>
      <c r="G72" s="80">
        <f aca="true" t="shared" si="60" ref="G72:G98">$K$11</f>
        <v>40</v>
      </c>
      <c r="H72" s="149">
        <f aca="true" t="shared" si="61" ref="H72:H98">$L$11</f>
        <v>4</v>
      </c>
      <c r="I72" s="150">
        <f aca="true" t="shared" si="62" ref="I72:I98">IF(AK72="","",IF($F72&gt;0,($F72/$AK72)*AG72,IF($G72&gt;0,(((43560/($G72/12))*$H72)/$AK72)*AG72,0)))</f>
      </c>
      <c r="J72" s="83">
        <f aca="true" t="shared" si="63" ref="J72:J98">BI72</f>
        <v>74.2994208</v>
      </c>
      <c r="K72" s="84">
        <f aca="true" t="shared" si="64" ref="K72:K98">BD72</f>
        <v>75.1253184</v>
      </c>
      <c r="L72" s="151">
        <f aca="true" t="shared" si="65" ref="L72:L98">BG72</f>
        <v>33.4436256</v>
      </c>
      <c r="M72" s="152">
        <f aca="true" t="shared" si="66" ref="M72:M98">BB72</f>
        <v>34.269523199999995</v>
      </c>
      <c r="N72" s="188">
        <f aca="true" t="shared" si="67" ref="N72:N98">IF(R72="New","New",(M72/L72)-1)</f>
        <v>0.024695217255392254</v>
      </c>
      <c r="O72" s="153">
        <f aca="true" t="shared" si="68" ref="O72:O98">IF(AW72="","",BH72)</f>
        <v>40.855795199999996</v>
      </c>
      <c r="P72" s="154">
        <f aca="true" t="shared" si="69" ref="P72:P98">IF(BC72="","",BC72)</f>
        <v>40.855795199999996</v>
      </c>
      <c r="Q72" s="176">
        <f aca="true" t="shared" si="70" ref="Q72:Q98">IF(R72="New","New",IF(AX72="","",(P72/O72)-1))</f>
        <v>0</v>
      </c>
      <c r="R72" s="100">
        <f aca="true" t="shared" si="71" ref="R72:R98">IF(J72="","New",IF(J72=0,"New",K72-J72))</f>
        <v>0.8258976000000047</v>
      </c>
      <c r="S72" s="184">
        <f aca="true" t="shared" si="72" ref="S72:S98">IF(R72="New","",R72/J72)</f>
        <v>0.011115801322639715</v>
      </c>
      <c r="U72" s="208" t="s">
        <v>95</v>
      </c>
      <c r="V72" s="4" t="s">
        <v>12</v>
      </c>
      <c r="X72" s="39"/>
      <c r="Y72" s="39">
        <v>159.95</v>
      </c>
      <c r="Z72" s="39">
        <v>163.9</v>
      </c>
      <c r="AA72" s="161"/>
      <c r="AB72" s="39"/>
      <c r="AC72" s="161">
        <v>195.4</v>
      </c>
      <c r="AD72" s="39"/>
      <c r="AE72" s="161">
        <v>195.4</v>
      </c>
      <c r="AF72" s="39"/>
      <c r="AG72" s="32">
        <f aca="true" t="shared" si="73" ref="AG72:AG98">X72+(AA72+AB72)</f>
        <v>0</v>
      </c>
      <c r="AH72" s="32">
        <f aca="true" t="shared" si="74" ref="AH72:AH98">Y72+(AC72+AD72)</f>
        <v>355.35</v>
      </c>
      <c r="AI72" s="32">
        <f aca="true" t="shared" si="75" ref="AI72:AI98">Z72+(AE72+AF72)</f>
        <v>359.3</v>
      </c>
      <c r="AJ72" s="33"/>
      <c r="AK72" s="33"/>
      <c r="AL72" s="33"/>
      <c r="AM72" s="33">
        <v>250000</v>
      </c>
      <c r="AN72" s="33"/>
      <c r="AO72" s="33">
        <v>250000</v>
      </c>
      <c r="AP72" s="67">
        <f aca="true" t="shared" si="76" ref="AP72:AP98">AK72</f>
        <v>0</v>
      </c>
      <c r="AQ72" s="34" t="str">
        <f aca="true" t="shared" si="77" ref="AQ72:AQ98">IF(AK72&gt;0,AM72/AK72*100,"Not Avail.")</f>
        <v>Not Avail.</v>
      </c>
      <c r="AR72" s="67">
        <f aca="true" t="shared" si="78" ref="AR72:AR98">AM72</f>
        <v>250000</v>
      </c>
      <c r="AS72" s="34">
        <f aca="true" t="shared" si="79" ref="AS72:AS98">IF(AM72&gt;0,AO72/AM72*100,"Not Avail.")</f>
        <v>100</v>
      </c>
      <c r="AT72" s="28">
        <f aca="true" t="shared" si="80" ref="AT72:AT98">IF(Y72="","",Y72/AS72*100)</f>
        <v>159.95</v>
      </c>
      <c r="AU72" s="28">
        <f aca="true" t="shared" si="81" ref="AU72:AU98">IF(AC72="","",((AC72+AD72)/AS72*100))</f>
        <v>195.4</v>
      </c>
      <c r="AV72" s="28">
        <f aca="true" t="shared" si="82" ref="AV72:AV98">IF(AT72="","",SUM(AT72:AU72))</f>
        <v>355.35</v>
      </c>
      <c r="AW72" s="24">
        <f aca="true" t="shared" si="83" ref="AW72:AW98">IF(AT72="","",Z72-AT72)</f>
        <v>3.950000000000017</v>
      </c>
      <c r="AX72" s="24">
        <f aca="true" t="shared" si="84" ref="AX72:AX98">IF(AU72="","",(AE72+AF72)-AU72)</f>
        <v>0</v>
      </c>
      <c r="AY72" s="24">
        <f aca="true" t="shared" si="85" ref="AY72:AY98">IF(AH72&gt;0,AI72-AV72,"New")</f>
        <v>3.9499999999999886</v>
      </c>
      <c r="AZ72" s="156">
        <f aca="true" t="shared" si="86" ref="AZ72:AZ98">F72</f>
        <v>52272</v>
      </c>
      <c r="BA72" s="35">
        <f aca="true" t="shared" si="87" ref="BA72:BA98">IF($F72&gt;0,($F72/$AO72),IF($G72&gt;0,(((43560/($G72/12))*$H72)/$AO72),0))</f>
        <v>0.209088</v>
      </c>
      <c r="BB72" s="35">
        <f aca="true" t="shared" si="88" ref="BB72:BB98">Z72/(1/BA72)</f>
        <v>34.269523199999995</v>
      </c>
      <c r="BC72" s="36">
        <f aca="true" t="shared" si="89" ref="BC72:BC98">((AE72+AF72)/(1/BA72))</f>
        <v>40.855795199999996</v>
      </c>
      <c r="BD72" s="36">
        <f aca="true" t="shared" si="90" ref="BD72:BD98">BB72+BC72</f>
        <v>75.1253184</v>
      </c>
      <c r="BE72" s="36" t="str">
        <f aca="true" t="shared" si="91" ref="BE72:BE98">IF(BD72=K72,"yes","no")</f>
        <v>yes</v>
      </c>
      <c r="BF72" s="37">
        <f aca="true" t="shared" si="92" ref="BF72:BF98">IF(AM72="","",IF($F72&gt;0,($F72/AM72),IF($G72&gt;0,((((43560/($G72/12))*$H72)/$AM72)),0)))</f>
        <v>0.209088</v>
      </c>
      <c r="BG72" s="37">
        <f aca="true" t="shared" si="93" ref="BG72:BG98">IF(Y72="","",Y72/(1/BF72))</f>
        <v>33.4436256</v>
      </c>
      <c r="BH72" s="36">
        <f aca="true" t="shared" si="94" ref="BH72:BH98">((AC72+AD72)/(1/BF72))</f>
        <v>40.855795199999996</v>
      </c>
      <c r="BI72" s="38">
        <f aca="true" t="shared" si="95" ref="BI72:BI98">SUM(BG72:BH72)</f>
        <v>74.2994208</v>
      </c>
      <c r="BJ72" s="1" t="str">
        <f aca="true" t="shared" si="96" ref="BJ72:BJ98">IF(J72=BI72,"yes","no")</f>
        <v>yes</v>
      </c>
      <c r="BK72" s="37">
        <f t="shared" si="57"/>
        <v>0.8258975999999976</v>
      </c>
      <c r="BL72" s="37">
        <f t="shared" si="58"/>
        <v>0</v>
      </c>
      <c r="BM72" s="7">
        <f aca="true" t="shared" si="97" ref="BM72:BM98">IF(BK72="","",BD72-BI72)</f>
        <v>0.8258976000000047</v>
      </c>
      <c r="BN72" s="7">
        <f aca="true" t="shared" si="98" ref="BN72:BN98">R72-BM72</f>
        <v>0</v>
      </c>
    </row>
    <row r="73" spans="3:66" ht="18" customHeight="1">
      <c r="C73" s="29"/>
      <c r="D73" s="164" t="s">
        <v>190</v>
      </c>
      <c r="E73" s="192" t="s">
        <v>47</v>
      </c>
      <c r="F73" s="79">
        <f t="shared" si="59"/>
        <v>52272</v>
      </c>
      <c r="G73" s="80">
        <f t="shared" si="60"/>
        <v>40</v>
      </c>
      <c r="H73" s="149">
        <f t="shared" si="61"/>
        <v>4</v>
      </c>
      <c r="I73" s="150">
        <f t="shared" si="62"/>
      </c>
      <c r="J73" s="83">
        <f t="shared" si="63"/>
        <v>74.2994208</v>
      </c>
      <c r="K73" s="84">
        <f t="shared" si="64"/>
        <v>75.13577279999998</v>
      </c>
      <c r="L73" s="151">
        <f t="shared" si="65"/>
        <v>33.4436256</v>
      </c>
      <c r="M73" s="152">
        <f t="shared" si="66"/>
        <v>34.279977599999995</v>
      </c>
      <c r="N73" s="188">
        <f t="shared" si="67"/>
        <v>0.025007814942169304</v>
      </c>
      <c r="O73" s="153">
        <f t="shared" si="68"/>
        <v>40.855795199999996</v>
      </c>
      <c r="P73" s="154">
        <f t="shared" si="69"/>
        <v>40.855795199999996</v>
      </c>
      <c r="Q73" s="176">
        <f t="shared" si="70"/>
        <v>0</v>
      </c>
      <c r="R73" s="100">
        <f t="shared" si="71"/>
        <v>0.8363519999999909</v>
      </c>
      <c r="S73" s="184">
        <f t="shared" si="72"/>
        <v>0.011256507668495728</v>
      </c>
      <c r="U73" s="208" t="s">
        <v>95</v>
      </c>
      <c r="V73" s="4" t="s">
        <v>12</v>
      </c>
      <c r="X73" s="39"/>
      <c r="Y73" s="39">
        <v>159.95</v>
      </c>
      <c r="Z73" s="39">
        <v>163.95</v>
      </c>
      <c r="AA73" s="161"/>
      <c r="AB73" s="39"/>
      <c r="AC73" s="161">
        <v>195.4</v>
      </c>
      <c r="AD73" s="39"/>
      <c r="AE73" s="161">
        <v>195.4</v>
      </c>
      <c r="AF73" s="39"/>
      <c r="AG73" s="32">
        <f t="shared" si="73"/>
        <v>0</v>
      </c>
      <c r="AH73" s="32">
        <f t="shared" si="74"/>
        <v>355.35</v>
      </c>
      <c r="AI73" s="32">
        <f t="shared" si="75"/>
        <v>359.35</v>
      </c>
      <c r="AJ73" s="33"/>
      <c r="AK73" s="33"/>
      <c r="AL73" s="33"/>
      <c r="AM73" s="33">
        <v>250000</v>
      </c>
      <c r="AN73" s="33"/>
      <c r="AO73" s="33">
        <v>250000</v>
      </c>
      <c r="AP73" s="67">
        <f t="shared" si="76"/>
        <v>0</v>
      </c>
      <c r="AQ73" s="34" t="str">
        <f t="shared" si="77"/>
        <v>Not Avail.</v>
      </c>
      <c r="AR73" s="67">
        <f t="shared" si="78"/>
        <v>250000</v>
      </c>
      <c r="AS73" s="34">
        <f t="shared" si="79"/>
        <v>100</v>
      </c>
      <c r="AT73" s="28">
        <f t="shared" si="80"/>
        <v>159.95</v>
      </c>
      <c r="AU73" s="28">
        <f t="shared" si="81"/>
        <v>195.4</v>
      </c>
      <c r="AV73" s="28">
        <f t="shared" si="82"/>
        <v>355.35</v>
      </c>
      <c r="AW73" s="24">
        <f t="shared" si="83"/>
        <v>4</v>
      </c>
      <c r="AX73" s="24">
        <f t="shared" si="84"/>
        <v>0</v>
      </c>
      <c r="AY73" s="24">
        <f t="shared" si="85"/>
        <v>4</v>
      </c>
      <c r="AZ73" s="156">
        <f t="shared" si="86"/>
        <v>52272</v>
      </c>
      <c r="BA73" s="35">
        <f t="shared" si="87"/>
        <v>0.209088</v>
      </c>
      <c r="BB73" s="35">
        <f t="shared" si="88"/>
        <v>34.279977599999995</v>
      </c>
      <c r="BC73" s="36">
        <f t="shared" si="89"/>
        <v>40.855795199999996</v>
      </c>
      <c r="BD73" s="36">
        <f t="shared" si="90"/>
        <v>75.13577279999998</v>
      </c>
      <c r="BE73" s="36" t="str">
        <f t="shared" si="91"/>
        <v>yes</v>
      </c>
      <c r="BF73" s="37">
        <f t="shared" si="92"/>
        <v>0.209088</v>
      </c>
      <c r="BG73" s="37">
        <f t="shared" si="93"/>
        <v>33.4436256</v>
      </c>
      <c r="BH73" s="36">
        <f t="shared" si="94"/>
        <v>40.855795199999996</v>
      </c>
      <c r="BI73" s="38">
        <f t="shared" si="95"/>
        <v>74.2994208</v>
      </c>
      <c r="BJ73" s="1" t="str">
        <f t="shared" si="96"/>
        <v>yes</v>
      </c>
      <c r="BK73" s="37">
        <f t="shared" si="57"/>
        <v>0.836351999999998</v>
      </c>
      <c r="BL73" s="37">
        <f t="shared" si="58"/>
        <v>0</v>
      </c>
      <c r="BM73" s="7">
        <f t="shared" si="97"/>
        <v>0.8363519999999909</v>
      </c>
      <c r="BN73" s="7">
        <f t="shared" si="98"/>
        <v>0</v>
      </c>
    </row>
    <row r="74" spans="3:66" ht="18" customHeight="1">
      <c r="C74" s="29"/>
      <c r="D74" s="164" t="s">
        <v>190</v>
      </c>
      <c r="E74" s="192" t="s">
        <v>48</v>
      </c>
      <c r="F74" s="79">
        <f t="shared" si="59"/>
        <v>52272</v>
      </c>
      <c r="G74" s="80">
        <f t="shared" si="60"/>
        <v>40</v>
      </c>
      <c r="H74" s="149">
        <f t="shared" si="61"/>
        <v>4</v>
      </c>
      <c r="I74" s="150">
        <f t="shared" si="62"/>
      </c>
      <c r="J74" s="83">
        <f t="shared" si="63"/>
        <v>73.2539808</v>
      </c>
      <c r="K74" s="84">
        <f t="shared" si="64"/>
        <v>75.13577279999998</v>
      </c>
      <c r="L74" s="151">
        <f t="shared" si="65"/>
        <v>32.3981856</v>
      </c>
      <c r="M74" s="152">
        <f t="shared" si="66"/>
        <v>34.279977599999995</v>
      </c>
      <c r="N74" s="188">
        <f t="shared" si="67"/>
        <v>0.05808325266214909</v>
      </c>
      <c r="O74" s="153">
        <f t="shared" si="68"/>
        <v>40.855795199999996</v>
      </c>
      <c r="P74" s="154">
        <f t="shared" si="69"/>
        <v>40.855795199999996</v>
      </c>
      <c r="Q74" s="176">
        <f t="shared" si="70"/>
        <v>0</v>
      </c>
      <c r="R74" s="100">
        <f t="shared" si="71"/>
        <v>1.8817919999999901</v>
      </c>
      <c r="S74" s="184">
        <f t="shared" si="72"/>
        <v>0.025688597117168414</v>
      </c>
      <c r="U74" s="208" t="s">
        <v>95</v>
      </c>
      <c r="V74" s="4" t="s">
        <v>12</v>
      </c>
      <c r="X74" s="39"/>
      <c r="Y74" s="155">
        <v>154.95</v>
      </c>
      <c r="Z74" s="39">
        <v>163.95</v>
      </c>
      <c r="AA74" s="161"/>
      <c r="AB74" s="39"/>
      <c r="AC74" s="161">
        <v>195.4</v>
      </c>
      <c r="AD74" s="39"/>
      <c r="AE74" s="161">
        <v>195.4</v>
      </c>
      <c r="AF74" s="39"/>
      <c r="AG74" s="32">
        <f t="shared" si="73"/>
        <v>0</v>
      </c>
      <c r="AH74" s="32">
        <f t="shared" si="74"/>
        <v>350.35</v>
      </c>
      <c r="AI74" s="32">
        <f t="shared" si="75"/>
        <v>359.35</v>
      </c>
      <c r="AJ74" s="33"/>
      <c r="AK74" s="33"/>
      <c r="AL74" s="33"/>
      <c r="AM74" s="33">
        <v>250000</v>
      </c>
      <c r="AN74" s="33"/>
      <c r="AO74" s="33">
        <v>250000</v>
      </c>
      <c r="AP74" s="67">
        <f t="shared" si="76"/>
        <v>0</v>
      </c>
      <c r="AQ74" s="34" t="str">
        <f t="shared" si="77"/>
        <v>Not Avail.</v>
      </c>
      <c r="AR74" s="67">
        <f t="shared" si="78"/>
        <v>250000</v>
      </c>
      <c r="AS74" s="34">
        <f t="shared" si="79"/>
        <v>100</v>
      </c>
      <c r="AT74" s="28">
        <f t="shared" si="80"/>
        <v>154.95</v>
      </c>
      <c r="AU74" s="28">
        <f t="shared" si="81"/>
        <v>195.4</v>
      </c>
      <c r="AV74" s="28">
        <f t="shared" si="82"/>
        <v>350.35</v>
      </c>
      <c r="AW74" s="24">
        <f t="shared" si="83"/>
        <v>9</v>
      </c>
      <c r="AX74" s="24">
        <f t="shared" si="84"/>
        <v>0</v>
      </c>
      <c r="AY74" s="24">
        <f t="shared" si="85"/>
        <v>9</v>
      </c>
      <c r="AZ74" s="156">
        <f t="shared" si="86"/>
        <v>52272</v>
      </c>
      <c r="BA74" s="35">
        <f t="shared" si="87"/>
        <v>0.209088</v>
      </c>
      <c r="BB74" s="35">
        <f t="shared" si="88"/>
        <v>34.279977599999995</v>
      </c>
      <c r="BC74" s="36">
        <f t="shared" si="89"/>
        <v>40.855795199999996</v>
      </c>
      <c r="BD74" s="36">
        <f t="shared" si="90"/>
        <v>75.13577279999998</v>
      </c>
      <c r="BE74" s="36" t="str">
        <f t="shared" si="91"/>
        <v>yes</v>
      </c>
      <c r="BF74" s="37">
        <f t="shared" si="92"/>
        <v>0.209088</v>
      </c>
      <c r="BG74" s="37">
        <f t="shared" si="93"/>
        <v>32.3981856</v>
      </c>
      <c r="BH74" s="36">
        <f t="shared" si="94"/>
        <v>40.855795199999996</v>
      </c>
      <c r="BI74" s="38">
        <f t="shared" si="95"/>
        <v>73.2539808</v>
      </c>
      <c r="BJ74" s="1" t="str">
        <f t="shared" si="96"/>
        <v>yes</v>
      </c>
      <c r="BK74" s="37">
        <f t="shared" si="57"/>
        <v>1.8817919999999972</v>
      </c>
      <c r="BL74" s="37">
        <f t="shared" si="58"/>
        <v>0</v>
      </c>
      <c r="BM74" s="7">
        <f t="shared" si="97"/>
        <v>1.8817919999999901</v>
      </c>
      <c r="BN74" s="7">
        <f t="shared" si="98"/>
        <v>0</v>
      </c>
    </row>
    <row r="75" spans="3:66" ht="18" customHeight="1">
      <c r="C75" s="29"/>
      <c r="D75" s="164" t="s">
        <v>190</v>
      </c>
      <c r="E75" s="192" t="s">
        <v>49</v>
      </c>
      <c r="F75" s="79">
        <f t="shared" si="59"/>
        <v>52272</v>
      </c>
      <c r="G75" s="80">
        <f t="shared" si="60"/>
        <v>40</v>
      </c>
      <c r="H75" s="149">
        <f t="shared" si="61"/>
        <v>4</v>
      </c>
      <c r="I75" s="150">
        <f t="shared" si="62"/>
      </c>
      <c r="J75" s="83">
        <f t="shared" si="63"/>
        <v>73.2539808</v>
      </c>
      <c r="K75" s="84">
        <f t="shared" si="64"/>
        <v>75.13577279999998</v>
      </c>
      <c r="L75" s="151">
        <f t="shared" si="65"/>
        <v>32.3981856</v>
      </c>
      <c r="M75" s="152">
        <f t="shared" si="66"/>
        <v>34.279977599999995</v>
      </c>
      <c r="N75" s="188">
        <f t="shared" si="67"/>
        <v>0.05808325266214909</v>
      </c>
      <c r="O75" s="153">
        <f t="shared" si="68"/>
        <v>40.855795199999996</v>
      </c>
      <c r="P75" s="154">
        <f t="shared" si="69"/>
        <v>40.855795199999996</v>
      </c>
      <c r="Q75" s="176">
        <f t="shared" si="70"/>
        <v>0</v>
      </c>
      <c r="R75" s="100">
        <f t="shared" si="71"/>
        <v>1.8817919999999901</v>
      </c>
      <c r="S75" s="184">
        <f t="shared" si="72"/>
        <v>0.025688597117168414</v>
      </c>
      <c r="U75" s="208" t="s">
        <v>95</v>
      </c>
      <c r="V75" s="4" t="s">
        <v>12</v>
      </c>
      <c r="X75" s="39"/>
      <c r="Y75" s="155">
        <v>154.95</v>
      </c>
      <c r="Z75" s="39">
        <v>163.95</v>
      </c>
      <c r="AA75" s="161"/>
      <c r="AB75" s="39"/>
      <c r="AC75" s="161">
        <v>195.4</v>
      </c>
      <c r="AD75" s="39"/>
      <c r="AE75" s="161">
        <v>195.4</v>
      </c>
      <c r="AF75" s="39"/>
      <c r="AG75" s="32">
        <f t="shared" si="73"/>
        <v>0</v>
      </c>
      <c r="AH75" s="32">
        <f t="shared" si="74"/>
        <v>350.35</v>
      </c>
      <c r="AI75" s="32">
        <f t="shared" si="75"/>
        <v>359.35</v>
      </c>
      <c r="AJ75" s="33"/>
      <c r="AK75" s="33"/>
      <c r="AL75" s="33"/>
      <c r="AM75" s="33">
        <v>250000</v>
      </c>
      <c r="AN75" s="33"/>
      <c r="AO75" s="33">
        <v>250000</v>
      </c>
      <c r="AP75" s="67">
        <f t="shared" si="76"/>
        <v>0</v>
      </c>
      <c r="AQ75" s="34" t="str">
        <f t="shared" si="77"/>
        <v>Not Avail.</v>
      </c>
      <c r="AR75" s="67">
        <f t="shared" si="78"/>
        <v>250000</v>
      </c>
      <c r="AS75" s="34">
        <f t="shared" si="79"/>
        <v>100</v>
      </c>
      <c r="AT75" s="28">
        <f t="shared" si="80"/>
        <v>154.95</v>
      </c>
      <c r="AU75" s="28">
        <f t="shared" si="81"/>
        <v>195.4</v>
      </c>
      <c r="AV75" s="28">
        <f t="shared" si="82"/>
        <v>350.35</v>
      </c>
      <c r="AW75" s="24">
        <f t="shared" si="83"/>
        <v>9</v>
      </c>
      <c r="AX75" s="24">
        <f t="shared" si="84"/>
        <v>0</v>
      </c>
      <c r="AY75" s="24">
        <f t="shared" si="85"/>
        <v>9</v>
      </c>
      <c r="AZ75" s="156">
        <f t="shared" si="86"/>
        <v>52272</v>
      </c>
      <c r="BA75" s="35">
        <f t="shared" si="87"/>
        <v>0.209088</v>
      </c>
      <c r="BB75" s="35">
        <f t="shared" si="88"/>
        <v>34.279977599999995</v>
      </c>
      <c r="BC75" s="36">
        <f t="shared" si="89"/>
        <v>40.855795199999996</v>
      </c>
      <c r="BD75" s="36">
        <f t="shared" si="90"/>
        <v>75.13577279999998</v>
      </c>
      <c r="BE75" s="36" t="str">
        <f t="shared" si="91"/>
        <v>yes</v>
      </c>
      <c r="BF75" s="37">
        <f t="shared" si="92"/>
        <v>0.209088</v>
      </c>
      <c r="BG75" s="37">
        <f t="shared" si="93"/>
        <v>32.3981856</v>
      </c>
      <c r="BH75" s="36">
        <f t="shared" si="94"/>
        <v>40.855795199999996</v>
      </c>
      <c r="BI75" s="38">
        <f t="shared" si="95"/>
        <v>73.2539808</v>
      </c>
      <c r="BJ75" s="1" t="str">
        <f t="shared" si="96"/>
        <v>yes</v>
      </c>
      <c r="BK75" s="37">
        <f t="shared" si="57"/>
        <v>1.8817919999999972</v>
      </c>
      <c r="BL75" s="37">
        <f t="shared" si="58"/>
        <v>0</v>
      </c>
      <c r="BM75" s="7">
        <f t="shared" si="97"/>
        <v>1.8817919999999901</v>
      </c>
      <c r="BN75" s="7">
        <f t="shared" si="98"/>
        <v>0</v>
      </c>
    </row>
    <row r="76" spans="2:66" ht="18" customHeight="1">
      <c r="B76" s="4" t="s">
        <v>12</v>
      </c>
      <c r="C76" s="4" t="s">
        <v>95</v>
      </c>
      <c r="D76" s="157" t="s">
        <v>190</v>
      </c>
      <c r="E76" s="158" t="s">
        <v>16</v>
      </c>
      <c r="F76" s="79">
        <f t="shared" si="59"/>
        <v>52272</v>
      </c>
      <c r="G76" s="80">
        <f t="shared" si="60"/>
        <v>40</v>
      </c>
      <c r="H76" s="149">
        <f t="shared" si="61"/>
        <v>4</v>
      </c>
      <c r="I76" s="150">
        <f t="shared" si="62"/>
        <v>67.7549664</v>
      </c>
      <c r="J76" s="83">
        <f t="shared" si="63"/>
        <v>71.99945279999999</v>
      </c>
      <c r="K76" s="84">
        <f t="shared" si="64"/>
        <v>69.90857279999999</v>
      </c>
      <c r="L76" s="151">
        <f t="shared" si="65"/>
        <v>31.143657599999994</v>
      </c>
      <c r="M76" s="152">
        <f t="shared" si="66"/>
        <v>29.052777599999995</v>
      </c>
      <c r="N76" s="188">
        <f t="shared" si="67"/>
        <v>-0.06713662302786172</v>
      </c>
      <c r="O76" s="153">
        <f t="shared" si="68"/>
        <v>40.855795199999996</v>
      </c>
      <c r="P76" s="154">
        <f t="shared" si="69"/>
        <v>40.855795199999996</v>
      </c>
      <c r="Q76" s="176">
        <f t="shared" si="70"/>
        <v>0</v>
      </c>
      <c r="R76" s="100">
        <f t="shared" si="71"/>
        <v>-2.0908799999999985</v>
      </c>
      <c r="S76" s="184">
        <f t="shared" si="72"/>
        <v>-0.02904022070567735</v>
      </c>
      <c r="U76" s="208" t="s">
        <v>95</v>
      </c>
      <c r="V76" s="4" t="s">
        <v>12</v>
      </c>
      <c r="X76" s="155">
        <v>137.15</v>
      </c>
      <c r="Y76" s="210">
        <v>148.95</v>
      </c>
      <c r="Z76" s="155">
        <v>138.95</v>
      </c>
      <c r="AA76" s="155">
        <v>186.9</v>
      </c>
      <c r="AB76" s="155"/>
      <c r="AC76" s="223">
        <v>195.4</v>
      </c>
      <c r="AD76" s="155"/>
      <c r="AE76" s="161">
        <v>195.4</v>
      </c>
      <c r="AF76" s="155"/>
      <c r="AG76" s="32">
        <f t="shared" si="73"/>
        <v>324.05</v>
      </c>
      <c r="AH76" s="32">
        <f t="shared" si="74"/>
        <v>344.35</v>
      </c>
      <c r="AI76" s="32">
        <f t="shared" si="75"/>
        <v>334.35</v>
      </c>
      <c r="AJ76" s="33"/>
      <c r="AK76" s="33">
        <v>250000</v>
      </c>
      <c r="AL76" s="33"/>
      <c r="AM76" s="33">
        <v>250000</v>
      </c>
      <c r="AN76" s="33"/>
      <c r="AO76" s="33">
        <v>250000</v>
      </c>
      <c r="AP76" s="67">
        <f t="shared" si="76"/>
        <v>250000</v>
      </c>
      <c r="AQ76" s="34">
        <f t="shared" si="77"/>
        <v>100</v>
      </c>
      <c r="AR76" s="67">
        <f t="shared" si="78"/>
        <v>250000</v>
      </c>
      <c r="AS76" s="34">
        <f t="shared" si="79"/>
        <v>100</v>
      </c>
      <c r="AT76" s="28">
        <f t="shared" si="80"/>
        <v>148.95</v>
      </c>
      <c r="AU76" s="28">
        <f t="shared" si="81"/>
        <v>195.4</v>
      </c>
      <c r="AV76" s="28">
        <f t="shared" si="82"/>
        <v>344.35</v>
      </c>
      <c r="AW76" s="24">
        <f t="shared" si="83"/>
        <v>-10</v>
      </c>
      <c r="AX76" s="24">
        <f t="shared" si="84"/>
        <v>0</v>
      </c>
      <c r="AY76" s="24">
        <f t="shared" si="85"/>
        <v>-10</v>
      </c>
      <c r="AZ76" s="156">
        <f t="shared" si="86"/>
        <v>52272</v>
      </c>
      <c r="BA76" s="35">
        <f t="shared" si="87"/>
        <v>0.209088</v>
      </c>
      <c r="BB76" s="35">
        <f t="shared" si="88"/>
        <v>29.052777599999995</v>
      </c>
      <c r="BC76" s="36">
        <f t="shared" si="89"/>
        <v>40.855795199999996</v>
      </c>
      <c r="BD76" s="36">
        <f t="shared" si="90"/>
        <v>69.90857279999999</v>
      </c>
      <c r="BE76" s="36" t="str">
        <f t="shared" si="91"/>
        <v>yes</v>
      </c>
      <c r="BF76" s="37">
        <f t="shared" si="92"/>
        <v>0.209088</v>
      </c>
      <c r="BG76" s="37">
        <f t="shared" si="93"/>
        <v>31.143657599999994</v>
      </c>
      <c r="BH76" s="36">
        <f t="shared" si="94"/>
        <v>40.855795199999996</v>
      </c>
      <c r="BI76" s="38">
        <f t="shared" si="95"/>
        <v>71.99945279999999</v>
      </c>
      <c r="BJ76" s="1" t="str">
        <f t="shared" si="96"/>
        <v>yes</v>
      </c>
      <c r="BK76" s="37">
        <f t="shared" si="57"/>
        <v>-2.0908799999999985</v>
      </c>
      <c r="BL76" s="37">
        <f t="shared" si="58"/>
        <v>0</v>
      </c>
      <c r="BM76" s="7">
        <f t="shared" si="97"/>
        <v>-2.0908799999999985</v>
      </c>
      <c r="BN76" s="7">
        <f t="shared" si="98"/>
        <v>0</v>
      </c>
    </row>
    <row r="77" spans="2:66" ht="18" customHeight="1">
      <c r="B77" s="4" t="s">
        <v>12</v>
      </c>
      <c r="C77" s="4" t="s">
        <v>95</v>
      </c>
      <c r="D77" s="157" t="s">
        <v>190</v>
      </c>
      <c r="E77" s="158" t="s">
        <v>15</v>
      </c>
      <c r="F77" s="79">
        <f t="shared" si="59"/>
        <v>52272</v>
      </c>
      <c r="G77" s="80">
        <f t="shared" si="60"/>
        <v>40</v>
      </c>
      <c r="H77" s="149">
        <f t="shared" si="61"/>
        <v>4</v>
      </c>
      <c r="I77" s="150">
        <f t="shared" si="62"/>
        <v>67.7549664</v>
      </c>
      <c r="J77" s="83">
        <f t="shared" si="63"/>
        <v>71.99945279999999</v>
      </c>
      <c r="K77" s="84">
        <f t="shared" si="64"/>
        <v>69.90857279999999</v>
      </c>
      <c r="L77" s="151">
        <f t="shared" si="65"/>
        <v>31.143657599999994</v>
      </c>
      <c r="M77" s="152">
        <f t="shared" si="66"/>
        <v>29.052777599999995</v>
      </c>
      <c r="N77" s="188">
        <f t="shared" si="67"/>
        <v>-0.06713662302786172</v>
      </c>
      <c r="O77" s="153">
        <f t="shared" si="68"/>
        <v>40.855795199999996</v>
      </c>
      <c r="P77" s="154">
        <f t="shared" si="69"/>
        <v>40.855795199999996</v>
      </c>
      <c r="Q77" s="176">
        <f t="shared" si="70"/>
        <v>0</v>
      </c>
      <c r="R77" s="100">
        <f t="shared" si="71"/>
        <v>-2.0908799999999985</v>
      </c>
      <c r="S77" s="184">
        <f t="shared" si="72"/>
        <v>-0.02904022070567735</v>
      </c>
      <c r="U77" s="208" t="s">
        <v>95</v>
      </c>
      <c r="V77" s="4" t="s">
        <v>12</v>
      </c>
      <c r="X77" s="155">
        <v>137.15</v>
      </c>
      <c r="Y77" s="39">
        <v>148.95</v>
      </c>
      <c r="Z77" s="155">
        <v>138.95</v>
      </c>
      <c r="AA77" s="155">
        <v>186.9</v>
      </c>
      <c r="AB77" s="155"/>
      <c r="AC77" s="223">
        <v>195.4</v>
      </c>
      <c r="AD77" s="155"/>
      <c r="AE77" s="161">
        <v>195.4</v>
      </c>
      <c r="AF77" s="155"/>
      <c r="AG77" s="32">
        <f t="shared" si="73"/>
        <v>324.05</v>
      </c>
      <c r="AH77" s="32">
        <f t="shared" si="74"/>
        <v>344.35</v>
      </c>
      <c r="AI77" s="32">
        <f t="shared" si="75"/>
        <v>334.35</v>
      </c>
      <c r="AJ77" s="33"/>
      <c r="AK77" s="33">
        <v>250000</v>
      </c>
      <c r="AL77" s="33"/>
      <c r="AM77" s="33">
        <v>250000</v>
      </c>
      <c r="AN77" s="33"/>
      <c r="AO77" s="33">
        <v>250000</v>
      </c>
      <c r="AP77" s="67">
        <f t="shared" si="76"/>
        <v>250000</v>
      </c>
      <c r="AQ77" s="34">
        <f t="shared" si="77"/>
        <v>100</v>
      </c>
      <c r="AR77" s="67">
        <f t="shared" si="78"/>
        <v>250000</v>
      </c>
      <c r="AS77" s="34">
        <f t="shared" si="79"/>
        <v>100</v>
      </c>
      <c r="AT77" s="28">
        <f t="shared" si="80"/>
        <v>148.95</v>
      </c>
      <c r="AU77" s="28">
        <f t="shared" si="81"/>
        <v>195.4</v>
      </c>
      <c r="AV77" s="28">
        <f t="shared" si="82"/>
        <v>344.35</v>
      </c>
      <c r="AW77" s="24">
        <f t="shared" si="83"/>
        <v>-10</v>
      </c>
      <c r="AX77" s="24">
        <f t="shared" si="84"/>
        <v>0</v>
      </c>
      <c r="AY77" s="24">
        <f t="shared" si="85"/>
        <v>-10</v>
      </c>
      <c r="AZ77" s="156">
        <f t="shared" si="86"/>
        <v>52272</v>
      </c>
      <c r="BA77" s="35">
        <f t="shared" si="87"/>
        <v>0.209088</v>
      </c>
      <c r="BB77" s="35">
        <f t="shared" si="88"/>
        <v>29.052777599999995</v>
      </c>
      <c r="BC77" s="36">
        <f t="shared" si="89"/>
        <v>40.855795199999996</v>
      </c>
      <c r="BD77" s="36">
        <f t="shared" si="90"/>
        <v>69.90857279999999</v>
      </c>
      <c r="BE77" s="36" t="str">
        <f t="shared" si="91"/>
        <v>yes</v>
      </c>
      <c r="BF77" s="37">
        <f t="shared" si="92"/>
        <v>0.209088</v>
      </c>
      <c r="BG77" s="37">
        <f t="shared" si="93"/>
        <v>31.143657599999994</v>
      </c>
      <c r="BH77" s="36">
        <f t="shared" si="94"/>
        <v>40.855795199999996</v>
      </c>
      <c r="BI77" s="38">
        <f t="shared" si="95"/>
        <v>71.99945279999999</v>
      </c>
      <c r="BJ77" s="1" t="str">
        <f t="shared" si="96"/>
        <v>yes</v>
      </c>
      <c r="BK77" s="37">
        <f t="shared" si="57"/>
        <v>-2.0908799999999985</v>
      </c>
      <c r="BL77" s="37">
        <f t="shared" si="58"/>
        <v>0</v>
      </c>
      <c r="BM77" s="7">
        <f t="shared" si="97"/>
        <v>-2.0908799999999985</v>
      </c>
      <c r="BN77" s="7">
        <f t="shared" si="98"/>
        <v>0</v>
      </c>
    </row>
    <row r="78" spans="2:66" ht="18" customHeight="1">
      <c r="B78" s="4" t="s">
        <v>12</v>
      </c>
      <c r="C78" s="4" t="s">
        <v>95</v>
      </c>
      <c r="D78" s="157" t="s">
        <v>190</v>
      </c>
      <c r="E78" s="158" t="s">
        <v>79</v>
      </c>
      <c r="F78" s="79">
        <f t="shared" si="59"/>
        <v>52272</v>
      </c>
      <c r="G78" s="80">
        <f t="shared" si="60"/>
        <v>40</v>
      </c>
      <c r="H78" s="149">
        <f t="shared" si="61"/>
        <v>4</v>
      </c>
      <c r="I78" s="150">
        <f t="shared" si="62"/>
        <v>67.7549664</v>
      </c>
      <c r="J78" s="83">
        <f t="shared" si="63"/>
        <v>71.99945279999999</v>
      </c>
      <c r="K78" s="84">
        <f t="shared" si="64"/>
        <v>69.90857279999999</v>
      </c>
      <c r="L78" s="151">
        <f t="shared" si="65"/>
        <v>31.143657599999994</v>
      </c>
      <c r="M78" s="152">
        <f t="shared" si="66"/>
        <v>29.052777599999995</v>
      </c>
      <c r="N78" s="188">
        <f t="shared" si="67"/>
        <v>-0.06713662302786172</v>
      </c>
      <c r="O78" s="153">
        <f t="shared" si="68"/>
        <v>40.855795199999996</v>
      </c>
      <c r="P78" s="154">
        <f t="shared" si="69"/>
        <v>40.855795199999996</v>
      </c>
      <c r="Q78" s="176">
        <f t="shared" si="70"/>
        <v>0</v>
      </c>
      <c r="R78" s="100">
        <f t="shared" si="71"/>
        <v>-2.0908799999999985</v>
      </c>
      <c r="S78" s="184">
        <f t="shared" si="72"/>
        <v>-0.02904022070567735</v>
      </c>
      <c r="U78" s="208" t="s">
        <v>95</v>
      </c>
      <c r="V78" s="4" t="s">
        <v>12</v>
      </c>
      <c r="X78" s="155">
        <v>137.15</v>
      </c>
      <c r="Y78" s="39">
        <v>148.95</v>
      </c>
      <c r="Z78" s="155">
        <v>138.95</v>
      </c>
      <c r="AA78" s="155">
        <v>186.9</v>
      </c>
      <c r="AB78" s="155"/>
      <c r="AC78" s="223">
        <v>195.4</v>
      </c>
      <c r="AD78" s="155"/>
      <c r="AE78" s="161">
        <v>195.4</v>
      </c>
      <c r="AF78" s="155"/>
      <c r="AG78" s="32">
        <f t="shared" si="73"/>
        <v>324.05</v>
      </c>
      <c r="AH78" s="32">
        <f t="shared" si="74"/>
        <v>344.35</v>
      </c>
      <c r="AI78" s="32">
        <f t="shared" si="75"/>
        <v>334.35</v>
      </c>
      <c r="AJ78" s="33"/>
      <c r="AK78" s="33">
        <v>250000</v>
      </c>
      <c r="AL78" s="33"/>
      <c r="AM78" s="33">
        <v>250000</v>
      </c>
      <c r="AN78" s="33"/>
      <c r="AO78" s="33">
        <v>250000</v>
      </c>
      <c r="AP78" s="67">
        <f t="shared" si="76"/>
        <v>250000</v>
      </c>
      <c r="AQ78" s="34">
        <f t="shared" si="77"/>
        <v>100</v>
      </c>
      <c r="AR78" s="67">
        <f t="shared" si="78"/>
        <v>250000</v>
      </c>
      <c r="AS78" s="34">
        <f t="shared" si="79"/>
        <v>100</v>
      </c>
      <c r="AT78" s="28">
        <f t="shared" si="80"/>
        <v>148.95</v>
      </c>
      <c r="AU78" s="28">
        <f t="shared" si="81"/>
        <v>195.4</v>
      </c>
      <c r="AV78" s="28">
        <f t="shared" si="82"/>
        <v>344.35</v>
      </c>
      <c r="AW78" s="24">
        <f t="shared" si="83"/>
        <v>-10</v>
      </c>
      <c r="AX78" s="24">
        <f t="shared" si="84"/>
        <v>0</v>
      </c>
      <c r="AY78" s="24">
        <f t="shared" si="85"/>
        <v>-10</v>
      </c>
      <c r="AZ78" s="156">
        <f t="shared" si="86"/>
        <v>52272</v>
      </c>
      <c r="BA78" s="35">
        <f t="shared" si="87"/>
        <v>0.209088</v>
      </c>
      <c r="BB78" s="35">
        <f t="shared" si="88"/>
        <v>29.052777599999995</v>
      </c>
      <c r="BC78" s="36">
        <f t="shared" si="89"/>
        <v>40.855795199999996</v>
      </c>
      <c r="BD78" s="36">
        <f t="shared" si="90"/>
        <v>69.90857279999999</v>
      </c>
      <c r="BE78" s="36" t="str">
        <f t="shared" si="91"/>
        <v>yes</v>
      </c>
      <c r="BF78" s="37">
        <f t="shared" si="92"/>
        <v>0.209088</v>
      </c>
      <c r="BG78" s="37">
        <f t="shared" si="93"/>
        <v>31.143657599999994</v>
      </c>
      <c r="BH78" s="36">
        <f t="shared" si="94"/>
        <v>40.855795199999996</v>
      </c>
      <c r="BI78" s="38">
        <f t="shared" si="95"/>
        <v>71.99945279999999</v>
      </c>
      <c r="BJ78" s="1" t="str">
        <f t="shared" si="96"/>
        <v>yes</v>
      </c>
      <c r="BK78" s="37">
        <f t="shared" si="57"/>
        <v>-2.0908799999999985</v>
      </c>
      <c r="BL78" s="37">
        <f t="shared" si="58"/>
        <v>0</v>
      </c>
      <c r="BM78" s="7">
        <f t="shared" si="97"/>
        <v>-2.0908799999999985</v>
      </c>
      <c r="BN78" s="7">
        <f t="shared" si="98"/>
        <v>0</v>
      </c>
    </row>
    <row r="79" spans="2:70" ht="18" customHeight="1">
      <c r="B79" s="4" t="s">
        <v>12</v>
      </c>
      <c r="C79" s="4" t="s">
        <v>95</v>
      </c>
      <c r="D79" s="157" t="s">
        <v>157</v>
      </c>
      <c r="E79" s="158" t="s">
        <v>177</v>
      </c>
      <c r="F79" s="79">
        <f t="shared" si="59"/>
        <v>52272</v>
      </c>
      <c r="G79" s="80">
        <f t="shared" si="60"/>
        <v>40</v>
      </c>
      <c r="H79" s="149">
        <f t="shared" si="61"/>
        <v>4</v>
      </c>
      <c r="I79" s="150">
        <f t="shared" si="62"/>
        <v>76.4478</v>
      </c>
      <c r="J79" s="83">
        <f t="shared" si="63"/>
        <v>73.15704</v>
      </c>
      <c r="K79" s="84">
        <f t="shared" si="64"/>
        <v>74.34504000000001</v>
      </c>
      <c r="L79" s="151">
        <f t="shared" si="65"/>
        <v>32.3136</v>
      </c>
      <c r="M79" s="152">
        <f t="shared" si="66"/>
        <v>33.5016</v>
      </c>
      <c r="N79" s="188">
        <f t="shared" si="67"/>
        <v>0.03676470588235303</v>
      </c>
      <c r="O79" s="153">
        <f t="shared" si="68"/>
        <v>40.84344</v>
      </c>
      <c r="P79" s="154">
        <f t="shared" si="69"/>
        <v>40.84344</v>
      </c>
      <c r="Q79" s="176">
        <f t="shared" si="70"/>
        <v>0</v>
      </c>
      <c r="R79" s="100">
        <f t="shared" si="71"/>
        <v>1.1880000000000166</v>
      </c>
      <c r="S79" s="184">
        <f t="shared" si="72"/>
        <v>0.016239038648912213</v>
      </c>
      <c r="U79" s="208" t="s">
        <v>95</v>
      </c>
      <c r="V79" s="4" t="s">
        <v>12</v>
      </c>
      <c r="X79" s="155">
        <v>128</v>
      </c>
      <c r="Y79" s="155">
        <v>136</v>
      </c>
      <c r="Z79" s="155">
        <v>141</v>
      </c>
      <c r="AA79" s="155">
        <v>164.5</v>
      </c>
      <c r="AB79" s="155"/>
      <c r="AC79" s="155">
        <v>171.9</v>
      </c>
      <c r="AD79" s="155"/>
      <c r="AE79" s="155">
        <v>171.9</v>
      </c>
      <c r="AF79" s="155"/>
      <c r="AG79" s="32">
        <f t="shared" si="73"/>
        <v>292.5</v>
      </c>
      <c r="AH79" s="32">
        <f t="shared" si="74"/>
        <v>307.9</v>
      </c>
      <c r="AI79" s="32">
        <f t="shared" si="75"/>
        <v>312.9</v>
      </c>
      <c r="AJ79" s="26"/>
      <c r="AK79" s="33">
        <v>200000</v>
      </c>
      <c r="AL79" s="26"/>
      <c r="AM79" s="33">
        <v>220000</v>
      </c>
      <c r="AN79" s="26"/>
      <c r="AO79" s="33">
        <v>220000</v>
      </c>
      <c r="AP79" s="67">
        <f t="shared" si="76"/>
        <v>200000</v>
      </c>
      <c r="AQ79" s="34">
        <f t="shared" si="77"/>
        <v>110.00000000000001</v>
      </c>
      <c r="AR79" s="67">
        <f t="shared" si="78"/>
        <v>220000</v>
      </c>
      <c r="AS79" s="34">
        <f t="shared" si="79"/>
        <v>100</v>
      </c>
      <c r="AT79" s="28">
        <f t="shared" si="80"/>
        <v>136</v>
      </c>
      <c r="AU79" s="28">
        <f t="shared" si="81"/>
        <v>171.9</v>
      </c>
      <c r="AV79" s="28">
        <f t="shared" si="82"/>
        <v>307.9</v>
      </c>
      <c r="AW79" s="24">
        <f t="shared" si="83"/>
        <v>5</v>
      </c>
      <c r="AX79" s="24">
        <f t="shared" si="84"/>
        <v>0</v>
      </c>
      <c r="AY79" s="24">
        <f t="shared" si="85"/>
        <v>5</v>
      </c>
      <c r="AZ79" s="156">
        <f t="shared" si="86"/>
        <v>52272</v>
      </c>
      <c r="BA79" s="35">
        <f t="shared" si="87"/>
        <v>0.2376</v>
      </c>
      <c r="BB79" s="35">
        <f t="shared" si="88"/>
        <v>33.5016</v>
      </c>
      <c r="BC79" s="36">
        <f t="shared" si="89"/>
        <v>40.84344</v>
      </c>
      <c r="BD79" s="36">
        <f t="shared" si="90"/>
        <v>74.34504000000001</v>
      </c>
      <c r="BE79" s="36" t="str">
        <f t="shared" si="91"/>
        <v>yes</v>
      </c>
      <c r="BF79" s="37">
        <f t="shared" si="92"/>
        <v>0.2376</v>
      </c>
      <c r="BG79" s="37">
        <f t="shared" si="93"/>
        <v>32.3136</v>
      </c>
      <c r="BH79" s="36">
        <f t="shared" si="94"/>
        <v>40.84344</v>
      </c>
      <c r="BI79" s="38">
        <f t="shared" si="95"/>
        <v>73.15704</v>
      </c>
      <c r="BJ79" s="1" t="str">
        <f t="shared" si="96"/>
        <v>yes</v>
      </c>
      <c r="BK79" s="37">
        <f t="shared" si="57"/>
        <v>1.1880000000000024</v>
      </c>
      <c r="BL79" s="37">
        <f t="shared" si="58"/>
        <v>0</v>
      </c>
      <c r="BM79" s="7">
        <f t="shared" si="97"/>
        <v>1.1880000000000166</v>
      </c>
      <c r="BN79" s="7">
        <f t="shared" si="98"/>
        <v>0</v>
      </c>
      <c r="BO79" s="7"/>
      <c r="BP79" s="7"/>
      <c r="BR79" s="7"/>
    </row>
    <row r="80" spans="2:70" ht="18" customHeight="1">
      <c r="B80" s="4" t="s">
        <v>12</v>
      </c>
      <c r="C80" s="4" t="s">
        <v>95</v>
      </c>
      <c r="D80" s="157" t="s">
        <v>157</v>
      </c>
      <c r="E80" s="158" t="s">
        <v>170</v>
      </c>
      <c r="F80" s="79">
        <f t="shared" si="59"/>
        <v>52272</v>
      </c>
      <c r="G80" s="80">
        <f t="shared" si="60"/>
        <v>40</v>
      </c>
      <c r="H80" s="149">
        <f t="shared" si="61"/>
        <v>4</v>
      </c>
      <c r="I80" s="150">
        <f t="shared" si="62"/>
        <v>76.4478</v>
      </c>
      <c r="J80" s="83">
        <f t="shared" si="63"/>
        <v>71.96904</v>
      </c>
      <c r="K80" s="84">
        <f t="shared" si="64"/>
        <v>68.16744</v>
      </c>
      <c r="L80" s="151">
        <f t="shared" si="65"/>
        <v>31.125600000000002</v>
      </c>
      <c r="M80" s="152">
        <f t="shared" si="66"/>
        <v>27.324</v>
      </c>
      <c r="N80" s="188">
        <f t="shared" si="67"/>
        <v>-0.12213740458015265</v>
      </c>
      <c r="O80" s="153">
        <f t="shared" si="68"/>
        <v>40.84344</v>
      </c>
      <c r="P80" s="154">
        <f t="shared" si="69"/>
        <v>40.84344</v>
      </c>
      <c r="Q80" s="176">
        <f t="shared" si="70"/>
        <v>0</v>
      </c>
      <c r="R80" s="100">
        <f t="shared" si="71"/>
        <v>-3.8016000000000076</v>
      </c>
      <c r="S80" s="184">
        <f t="shared" si="72"/>
        <v>-0.052822713766919875</v>
      </c>
      <c r="U80" s="208" t="s">
        <v>95</v>
      </c>
      <c r="V80" s="4" t="s">
        <v>12</v>
      </c>
      <c r="X80" s="155">
        <v>128</v>
      </c>
      <c r="Y80" s="155">
        <v>131</v>
      </c>
      <c r="Z80" s="155">
        <v>115</v>
      </c>
      <c r="AA80" s="155">
        <v>164.5</v>
      </c>
      <c r="AB80" s="155"/>
      <c r="AC80" s="155">
        <v>171.9</v>
      </c>
      <c r="AD80" s="155"/>
      <c r="AE80" s="155">
        <v>171.9</v>
      </c>
      <c r="AF80" s="155"/>
      <c r="AG80" s="32">
        <f t="shared" si="73"/>
        <v>292.5</v>
      </c>
      <c r="AH80" s="32">
        <f t="shared" si="74"/>
        <v>302.9</v>
      </c>
      <c r="AI80" s="32">
        <f t="shared" si="75"/>
        <v>286.9</v>
      </c>
      <c r="AJ80" s="26"/>
      <c r="AK80" s="33">
        <v>200000</v>
      </c>
      <c r="AL80" s="26"/>
      <c r="AM80" s="33">
        <v>220000</v>
      </c>
      <c r="AN80" s="26"/>
      <c r="AO80" s="33">
        <v>220000</v>
      </c>
      <c r="AP80" s="67">
        <f t="shared" si="76"/>
        <v>200000</v>
      </c>
      <c r="AQ80" s="34">
        <f t="shared" si="77"/>
        <v>110.00000000000001</v>
      </c>
      <c r="AR80" s="67">
        <f t="shared" si="78"/>
        <v>220000</v>
      </c>
      <c r="AS80" s="34">
        <f t="shared" si="79"/>
        <v>100</v>
      </c>
      <c r="AT80" s="28">
        <f t="shared" si="80"/>
        <v>131</v>
      </c>
      <c r="AU80" s="28">
        <f t="shared" si="81"/>
        <v>171.9</v>
      </c>
      <c r="AV80" s="28">
        <f t="shared" si="82"/>
        <v>302.9</v>
      </c>
      <c r="AW80" s="24">
        <f t="shared" si="83"/>
        <v>-16</v>
      </c>
      <c r="AX80" s="24">
        <f t="shared" si="84"/>
        <v>0</v>
      </c>
      <c r="AY80" s="24">
        <f t="shared" si="85"/>
        <v>-16</v>
      </c>
      <c r="AZ80" s="156">
        <f t="shared" si="86"/>
        <v>52272</v>
      </c>
      <c r="BA80" s="35">
        <f t="shared" si="87"/>
        <v>0.2376</v>
      </c>
      <c r="BB80" s="35">
        <f t="shared" si="88"/>
        <v>27.324</v>
      </c>
      <c r="BC80" s="36">
        <f t="shared" si="89"/>
        <v>40.84344</v>
      </c>
      <c r="BD80" s="36">
        <f t="shared" si="90"/>
        <v>68.16744</v>
      </c>
      <c r="BE80" s="36" t="str">
        <f t="shared" si="91"/>
        <v>yes</v>
      </c>
      <c r="BF80" s="37">
        <f t="shared" si="92"/>
        <v>0.2376</v>
      </c>
      <c r="BG80" s="37">
        <f t="shared" si="93"/>
        <v>31.125600000000002</v>
      </c>
      <c r="BH80" s="36">
        <f t="shared" si="94"/>
        <v>40.84344</v>
      </c>
      <c r="BI80" s="38">
        <f t="shared" si="95"/>
        <v>71.96904</v>
      </c>
      <c r="BJ80" s="1" t="str">
        <f t="shared" si="96"/>
        <v>yes</v>
      </c>
      <c r="BK80" s="37">
        <f t="shared" si="57"/>
        <v>-3.8016000000000005</v>
      </c>
      <c r="BL80" s="37">
        <f t="shared" si="58"/>
        <v>0</v>
      </c>
      <c r="BM80" s="7">
        <f t="shared" si="97"/>
        <v>-3.8016000000000076</v>
      </c>
      <c r="BN80" s="7">
        <f t="shared" si="98"/>
        <v>0</v>
      </c>
      <c r="BO80" s="7"/>
      <c r="BP80" s="7"/>
      <c r="BR80" s="7"/>
    </row>
    <row r="81" spans="2:70" ht="18" customHeight="1">
      <c r="B81" s="4" t="s">
        <v>12</v>
      </c>
      <c r="C81" s="4" t="s">
        <v>95</v>
      </c>
      <c r="D81" s="157" t="s">
        <v>157</v>
      </c>
      <c r="E81" s="158" t="s">
        <v>174</v>
      </c>
      <c r="F81" s="79">
        <f t="shared" si="59"/>
        <v>52272</v>
      </c>
      <c r="G81" s="80">
        <f t="shared" si="60"/>
        <v>40</v>
      </c>
      <c r="H81" s="149">
        <f t="shared" si="61"/>
        <v>4</v>
      </c>
      <c r="I81" s="150">
        <f t="shared" si="62"/>
        <v>76.4478</v>
      </c>
      <c r="J81" s="83">
        <f t="shared" si="63"/>
        <v>67.92984</v>
      </c>
      <c r="K81" s="84">
        <f t="shared" si="64"/>
        <v>68.16744</v>
      </c>
      <c r="L81" s="151">
        <f t="shared" si="65"/>
        <v>27.0864</v>
      </c>
      <c r="M81" s="152">
        <f t="shared" si="66"/>
        <v>27.324</v>
      </c>
      <c r="N81" s="188">
        <f t="shared" si="67"/>
        <v>0.00877192982456143</v>
      </c>
      <c r="O81" s="153">
        <f t="shared" si="68"/>
        <v>40.84344</v>
      </c>
      <c r="P81" s="154">
        <f t="shared" si="69"/>
        <v>40.84344</v>
      </c>
      <c r="Q81" s="176">
        <f t="shared" si="70"/>
        <v>0</v>
      </c>
      <c r="R81" s="100">
        <f t="shared" si="71"/>
        <v>0.23760000000000048</v>
      </c>
      <c r="S81" s="184">
        <f t="shared" si="72"/>
        <v>0.003497726477789444</v>
      </c>
      <c r="U81" s="208" t="s">
        <v>95</v>
      </c>
      <c r="V81" s="4" t="s">
        <v>12</v>
      </c>
      <c r="X81" s="155">
        <v>128</v>
      </c>
      <c r="Y81" s="155">
        <v>114</v>
      </c>
      <c r="Z81" s="155">
        <v>115</v>
      </c>
      <c r="AA81" s="155">
        <v>164.5</v>
      </c>
      <c r="AB81" s="155"/>
      <c r="AC81" s="155">
        <v>171.9</v>
      </c>
      <c r="AD81" s="155"/>
      <c r="AE81" s="155">
        <v>171.9</v>
      </c>
      <c r="AF81" s="155"/>
      <c r="AG81" s="32">
        <f t="shared" si="73"/>
        <v>292.5</v>
      </c>
      <c r="AH81" s="32">
        <f t="shared" si="74"/>
        <v>285.9</v>
      </c>
      <c r="AI81" s="32">
        <f t="shared" si="75"/>
        <v>286.9</v>
      </c>
      <c r="AJ81" s="26"/>
      <c r="AK81" s="33">
        <v>200000</v>
      </c>
      <c r="AL81" s="26"/>
      <c r="AM81" s="33">
        <v>220000</v>
      </c>
      <c r="AN81" s="26"/>
      <c r="AO81" s="33">
        <v>220000</v>
      </c>
      <c r="AP81" s="67">
        <f t="shared" si="76"/>
        <v>200000</v>
      </c>
      <c r="AQ81" s="34">
        <f t="shared" si="77"/>
        <v>110.00000000000001</v>
      </c>
      <c r="AR81" s="67">
        <f t="shared" si="78"/>
        <v>220000</v>
      </c>
      <c r="AS81" s="34">
        <f t="shared" si="79"/>
        <v>100</v>
      </c>
      <c r="AT81" s="28">
        <f t="shared" si="80"/>
        <v>113.99999999999999</v>
      </c>
      <c r="AU81" s="28">
        <f t="shared" si="81"/>
        <v>171.9</v>
      </c>
      <c r="AV81" s="28">
        <f t="shared" si="82"/>
        <v>285.9</v>
      </c>
      <c r="AW81" s="24">
        <f t="shared" si="83"/>
        <v>1.0000000000000142</v>
      </c>
      <c r="AX81" s="24">
        <f t="shared" si="84"/>
        <v>0</v>
      </c>
      <c r="AY81" s="24">
        <f t="shared" si="85"/>
        <v>1</v>
      </c>
      <c r="AZ81" s="156">
        <f t="shared" si="86"/>
        <v>52272</v>
      </c>
      <c r="BA81" s="35">
        <f t="shared" si="87"/>
        <v>0.2376</v>
      </c>
      <c r="BB81" s="35">
        <f t="shared" si="88"/>
        <v>27.324</v>
      </c>
      <c r="BC81" s="36">
        <f t="shared" si="89"/>
        <v>40.84344</v>
      </c>
      <c r="BD81" s="36">
        <f t="shared" si="90"/>
        <v>68.16744</v>
      </c>
      <c r="BE81" s="36" t="str">
        <f t="shared" si="91"/>
        <v>yes</v>
      </c>
      <c r="BF81" s="37">
        <f t="shared" si="92"/>
        <v>0.2376</v>
      </c>
      <c r="BG81" s="37">
        <f t="shared" si="93"/>
        <v>27.0864</v>
      </c>
      <c r="BH81" s="36">
        <f t="shared" si="94"/>
        <v>40.84344</v>
      </c>
      <c r="BI81" s="38">
        <f t="shared" si="95"/>
        <v>67.92984</v>
      </c>
      <c r="BJ81" s="1" t="str">
        <f t="shared" si="96"/>
        <v>yes</v>
      </c>
      <c r="BK81" s="37">
        <f t="shared" si="57"/>
        <v>0.23760000000000048</v>
      </c>
      <c r="BL81" s="37">
        <f t="shared" si="58"/>
        <v>0</v>
      </c>
      <c r="BM81" s="7">
        <f t="shared" si="97"/>
        <v>0.23760000000000048</v>
      </c>
      <c r="BN81" s="7">
        <f t="shared" si="98"/>
        <v>0</v>
      </c>
      <c r="BO81" s="7"/>
      <c r="BP81" s="7"/>
      <c r="BR81" s="7"/>
    </row>
    <row r="82" spans="2:66" ht="18" customHeight="1">
      <c r="B82" s="4" t="s">
        <v>12</v>
      </c>
      <c r="C82" s="4" t="s">
        <v>95</v>
      </c>
      <c r="D82" s="157" t="s">
        <v>157</v>
      </c>
      <c r="E82" s="158" t="s">
        <v>176</v>
      </c>
      <c r="F82" s="79">
        <f t="shared" si="59"/>
        <v>52272</v>
      </c>
      <c r="G82" s="80">
        <f t="shared" si="60"/>
        <v>40</v>
      </c>
      <c r="H82" s="149">
        <f t="shared" si="61"/>
        <v>4</v>
      </c>
      <c r="I82" s="150">
        <f t="shared" si="62"/>
        <v>76.4478</v>
      </c>
      <c r="J82" s="83">
        <f t="shared" si="63"/>
        <v>71.96904</v>
      </c>
      <c r="K82" s="84">
        <f t="shared" si="64"/>
        <v>73.15704</v>
      </c>
      <c r="L82" s="151">
        <f t="shared" si="65"/>
        <v>31.125600000000002</v>
      </c>
      <c r="M82" s="152">
        <f t="shared" si="66"/>
        <v>32.3136</v>
      </c>
      <c r="N82" s="188">
        <f t="shared" si="67"/>
        <v>0.03816793893129766</v>
      </c>
      <c r="O82" s="153">
        <f t="shared" si="68"/>
        <v>40.84344</v>
      </c>
      <c r="P82" s="154">
        <f t="shared" si="69"/>
        <v>40.84344</v>
      </c>
      <c r="Q82" s="176">
        <f t="shared" si="70"/>
        <v>0</v>
      </c>
      <c r="R82" s="100">
        <f t="shared" si="71"/>
        <v>1.1879999999999882</v>
      </c>
      <c r="S82" s="184">
        <f t="shared" si="72"/>
        <v>0.016507098052162265</v>
      </c>
      <c r="U82" s="208" t="s">
        <v>95</v>
      </c>
      <c r="V82" s="4" t="s">
        <v>12</v>
      </c>
      <c r="X82" s="155">
        <v>128</v>
      </c>
      <c r="Y82" s="155">
        <v>131</v>
      </c>
      <c r="Z82" s="155">
        <v>136</v>
      </c>
      <c r="AA82" s="155">
        <v>164.5</v>
      </c>
      <c r="AB82" s="155"/>
      <c r="AC82" s="155">
        <v>171.9</v>
      </c>
      <c r="AD82" s="155"/>
      <c r="AE82" s="155">
        <v>171.9</v>
      </c>
      <c r="AF82" s="155"/>
      <c r="AG82" s="32">
        <f t="shared" si="73"/>
        <v>292.5</v>
      </c>
      <c r="AH82" s="32">
        <f t="shared" si="74"/>
        <v>302.9</v>
      </c>
      <c r="AI82" s="32">
        <f t="shared" si="75"/>
        <v>307.9</v>
      </c>
      <c r="AJ82" s="26"/>
      <c r="AK82" s="33">
        <v>200000</v>
      </c>
      <c r="AL82" s="26"/>
      <c r="AM82" s="33">
        <v>220000</v>
      </c>
      <c r="AN82" s="26"/>
      <c r="AO82" s="33">
        <v>220000</v>
      </c>
      <c r="AP82" s="67">
        <f t="shared" si="76"/>
        <v>200000</v>
      </c>
      <c r="AQ82" s="34">
        <f t="shared" si="77"/>
        <v>110.00000000000001</v>
      </c>
      <c r="AR82" s="67">
        <f t="shared" si="78"/>
        <v>220000</v>
      </c>
      <c r="AS82" s="34">
        <f t="shared" si="79"/>
        <v>100</v>
      </c>
      <c r="AT82" s="28">
        <f t="shared" si="80"/>
        <v>131</v>
      </c>
      <c r="AU82" s="28">
        <f t="shared" si="81"/>
        <v>171.9</v>
      </c>
      <c r="AV82" s="28">
        <f t="shared" si="82"/>
        <v>302.9</v>
      </c>
      <c r="AW82" s="24">
        <f t="shared" si="83"/>
        <v>5</v>
      </c>
      <c r="AX82" s="24">
        <f t="shared" si="84"/>
        <v>0</v>
      </c>
      <c r="AY82" s="24">
        <f t="shared" si="85"/>
        <v>5</v>
      </c>
      <c r="AZ82" s="156">
        <f t="shared" si="86"/>
        <v>52272</v>
      </c>
      <c r="BA82" s="35">
        <f t="shared" si="87"/>
        <v>0.2376</v>
      </c>
      <c r="BB82" s="35">
        <f t="shared" si="88"/>
        <v>32.3136</v>
      </c>
      <c r="BC82" s="36">
        <f t="shared" si="89"/>
        <v>40.84344</v>
      </c>
      <c r="BD82" s="36">
        <f t="shared" si="90"/>
        <v>73.15704</v>
      </c>
      <c r="BE82" s="36" t="str">
        <f t="shared" si="91"/>
        <v>yes</v>
      </c>
      <c r="BF82" s="37">
        <f t="shared" si="92"/>
        <v>0.2376</v>
      </c>
      <c r="BG82" s="37">
        <f t="shared" si="93"/>
        <v>31.125600000000002</v>
      </c>
      <c r="BH82" s="36">
        <f t="shared" si="94"/>
        <v>40.84344</v>
      </c>
      <c r="BI82" s="38">
        <f t="shared" si="95"/>
        <v>71.96904</v>
      </c>
      <c r="BJ82" s="1" t="str">
        <f t="shared" si="96"/>
        <v>yes</v>
      </c>
      <c r="BK82" s="37">
        <f t="shared" si="57"/>
        <v>1.1879999999999988</v>
      </c>
      <c r="BL82" s="37">
        <f t="shared" si="58"/>
        <v>0</v>
      </c>
      <c r="BM82" s="7">
        <f t="shared" si="97"/>
        <v>1.1879999999999882</v>
      </c>
      <c r="BN82" s="7">
        <f t="shared" si="98"/>
        <v>0</v>
      </c>
    </row>
    <row r="83" spans="2:70" ht="18" customHeight="1">
      <c r="B83" s="4" t="s">
        <v>12</v>
      </c>
      <c r="C83" s="4" t="s">
        <v>141</v>
      </c>
      <c r="D83" s="205" t="s">
        <v>157</v>
      </c>
      <c r="E83" s="192" t="s">
        <v>137</v>
      </c>
      <c r="F83" s="79">
        <f t="shared" si="59"/>
        <v>52272</v>
      </c>
      <c r="G83" s="80">
        <f t="shared" si="60"/>
        <v>40</v>
      </c>
      <c r="H83" s="149">
        <f t="shared" si="61"/>
        <v>4</v>
      </c>
      <c r="I83" s="150">
        <f t="shared" si="62"/>
        <v>76.4478</v>
      </c>
      <c r="J83" s="83">
        <f t="shared" si="63"/>
        <v>73.15704</v>
      </c>
      <c r="K83" s="84">
        <f t="shared" si="64"/>
        <v>74.34504000000001</v>
      </c>
      <c r="L83" s="151">
        <f t="shared" si="65"/>
        <v>32.3136</v>
      </c>
      <c r="M83" s="152">
        <f t="shared" si="66"/>
        <v>33.5016</v>
      </c>
      <c r="N83" s="188">
        <f t="shared" si="67"/>
        <v>0.03676470588235303</v>
      </c>
      <c r="O83" s="153">
        <f t="shared" si="68"/>
        <v>40.84344</v>
      </c>
      <c r="P83" s="154">
        <f t="shared" si="69"/>
        <v>40.84344</v>
      </c>
      <c r="Q83" s="176">
        <f t="shared" si="70"/>
        <v>0</v>
      </c>
      <c r="R83" s="100">
        <f t="shared" si="71"/>
        <v>1.1880000000000166</v>
      </c>
      <c r="S83" s="184">
        <f t="shared" si="72"/>
        <v>0.016239038648912213</v>
      </c>
      <c r="U83" s="208" t="s">
        <v>141</v>
      </c>
      <c r="V83" s="4" t="s">
        <v>12</v>
      </c>
      <c r="X83" s="155">
        <v>128</v>
      </c>
      <c r="Y83" s="155">
        <v>136</v>
      </c>
      <c r="Z83" s="155">
        <v>141</v>
      </c>
      <c r="AA83" s="155">
        <v>164.5</v>
      </c>
      <c r="AB83" s="155"/>
      <c r="AC83" s="155">
        <v>171.9</v>
      </c>
      <c r="AD83" s="155"/>
      <c r="AE83" s="155">
        <v>171.9</v>
      </c>
      <c r="AF83" s="155"/>
      <c r="AG83" s="32">
        <f t="shared" si="73"/>
        <v>292.5</v>
      </c>
      <c r="AH83" s="32">
        <f t="shared" si="74"/>
        <v>307.9</v>
      </c>
      <c r="AI83" s="32">
        <f t="shared" si="75"/>
        <v>312.9</v>
      </c>
      <c r="AJ83" s="26"/>
      <c r="AK83" s="33">
        <v>200000</v>
      </c>
      <c r="AL83" s="26"/>
      <c r="AM83" s="33">
        <v>220000</v>
      </c>
      <c r="AN83" s="26"/>
      <c r="AO83" s="33">
        <v>220000</v>
      </c>
      <c r="AP83" s="67">
        <f t="shared" si="76"/>
        <v>200000</v>
      </c>
      <c r="AQ83" s="34">
        <f t="shared" si="77"/>
        <v>110.00000000000001</v>
      </c>
      <c r="AR83" s="67">
        <f t="shared" si="78"/>
        <v>220000</v>
      </c>
      <c r="AS83" s="34">
        <f t="shared" si="79"/>
        <v>100</v>
      </c>
      <c r="AT83" s="28">
        <f t="shared" si="80"/>
        <v>136</v>
      </c>
      <c r="AU83" s="28">
        <f t="shared" si="81"/>
        <v>171.9</v>
      </c>
      <c r="AV83" s="28">
        <f t="shared" si="82"/>
        <v>307.9</v>
      </c>
      <c r="AW83" s="24">
        <f t="shared" si="83"/>
        <v>5</v>
      </c>
      <c r="AX83" s="24">
        <f t="shared" si="84"/>
        <v>0</v>
      </c>
      <c r="AY83" s="24">
        <f t="shared" si="85"/>
        <v>5</v>
      </c>
      <c r="AZ83" s="156">
        <f t="shared" si="86"/>
        <v>52272</v>
      </c>
      <c r="BA83" s="35">
        <f t="shared" si="87"/>
        <v>0.2376</v>
      </c>
      <c r="BB83" s="35">
        <f t="shared" si="88"/>
        <v>33.5016</v>
      </c>
      <c r="BC83" s="36">
        <f t="shared" si="89"/>
        <v>40.84344</v>
      </c>
      <c r="BD83" s="36">
        <f t="shared" si="90"/>
        <v>74.34504000000001</v>
      </c>
      <c r="BE83" s="36" t="str">
        <f t="shared" si="91"/>
        <v>yes</v>
      </c>
      <c r="BF83" s="37">
        <f t="shared" si="92"/>
        <v>0.2376</v>
      </c>
      <c r="BG83" s="37">
        <f t="shared" si="93"/>
        <v>32.3136</v>
      </c>
      <c r="BH83" s="36">
        <f t="shared" si="94"/>
        <v>40.84344</v>
      </c>
      <c r="BI83" s="38">
        <f t="shared" si="95"/>
        <v>73.15704</v>
      </c>
      <c r="BJ83" s="1" t="str">
        <f t="shared" si="96"/>
        <v>yes</v>
      </c>
      <c r="BK83" s="37">
        <f t="shared" si="57"/>
        <v>1.1880000000000024</v>
      </c>
      <c r="BL83" s="37">
        <f t="shared" si="57"/>
        <v>0</v>
      </c>
      <c r="BM83" s="7">
        <f t="shared" si="97"/>
        <v>1.1880000000000166</v>
      </c>
      <c r="BN83" s="7">
        <f t="shared" si="98"/>
        <v>0</v>
      </c>
      <c r="BO83" s="7"/>
      <c r="BP83" s="7"/>
      <c r="BR83" s="7"/>
    </row>
    <row r="84" spans="2:70" ht="18" customHeight="1">
      <c r="B84" s="4" t="s">
        <v>12</v>
      </c>
      <c r="C84" s="4" t="s">
        <v>95</v>
      </c>
      <c r="D84" s="157" t="s">
        <v>157</v>
      </c>
      <c r="E84" s="158" t="s">
        <v>228</v>
      </c>
      <c r="F84" s="79">
        <f t="shared" si="59"/>
        <v>52272</v>
      </c>
      <c r="G84" s="80">
        <f t="shared" si="60"/>
        <v>40</v>
      </c>
      <c r="H84" s="149">
        <f t="shared" si="61"/>
        <v>4</v>
      </c>
      <c r="I84" s="150">
        <f t="shared" si="62"/>
        <v>76.4478</v>
      </c>
      <c r="J84" s="83">
        <f t="shared" si="63"/>
        <v>73.15704</v>
      </c>
      <c r="K84" s="84">
        <f t="shared" si="64"/>
        <v>74.34504000000001</v>
      </c>
      <c r="L84" s="151">
        <f t="shared" si="65"/>
        <v>32.3136</v>
      </c>
      <c r="M84" s="152">
        <f t="shared" si="66"/>
        <v>33.5016</v>
      </c>
      <c r="N84" s="188">
        <f t="shared" si="67"/>
        <v>0.03676470588235303</v>
      </c>
      <c r="O84" s="153">
        <f t="shared" si="68"/>
        <v>40.84344</v>
      </c>
      <c r="P84" s="154">
        <f t="shared" si="69"/>
        <v>40.84344</v>
      </c>
      <c r="Q84" s="176">
        <f t="shared" si="70"/>
        <v>0</v>
      </c>
      <c r="R84" s="100">
        <f t="shared" si="71"/>
        <v>1.1880000000000166</v>
      </c>
      <c r="S84" s="184">
        <f t="shared" si="72"/>
        <v>0.016239038648912213</v>
      </c>
      <c r="U84" s="208" t="s">
        <v>95</v>
      </c>
      <c r="V84" s="4" t="s">
        <v>12</v>
      </c>
      <c r="X84" s="155">
        <v>128</v>
      </c>
      <c r="Y84" s="155">
        <v>136</v>
      </c>
      <c r="Z84" s="155">
        <v>141</v>
      </c>
      <c r="AA84" s="155">
        <v>164.5</v>
      </c>
      <c r="AB84" s="155"/>
      <c r="AC84" s="155">
        <v>171.9</v>
      </c>
      <c r="AD84" s="155"/>
      <c r="AE84" s="155">
        <v>171.9</v>
      </c>
      <c r="AF84" s="155"/>
      <c r="AG84" s="32">
        <f t="shared" si="73"/>
        <v>292.5</v>
      </c>
      <c r="AH84" s="32">
        <f t="shared" si="74"/>
        <v>307.9</v>
      </c>
      <c r="AI84" s="32">
        <f t="shared" si="75"/>
        <v>312.9</v>
      </c>
      <c r="AJ84" s="26"/>
      <c r="AK84" s="33">
        <v>200000</v>
      </c>
      <c r="AL84" s="26"/>
      <c r="AM84" s="33">
        <v>220000</v>
      </c>
      <c r="AN84" s="26"/>
      <c r="AO84" s="33">
        <v>220000</v>
      </c>
      <c r="AP84" s="67">
        <f t="shared" si="76"/>
        <v>200000</v>
      </c>
      <c r="AQ84" s="34">
        <f t="shared" si="77"/>
        <v>110.00000000000001</v>
      </c>
      <c r="AR84" s="67">
        <f t="shared" si="78"/>
        <v>220000</v>
      </c>
      <c r="AS84" s="34">
        <f t="shared" si="79"/>
        <v>100</v>
      </c>
      <c r="AT84" s="28">
        <f t="shared" si="80"/>
        <v>136</v>
      </c>
      <c r="AU84" s="28">
        <f t="shared" si="81"/>
        <v>171.9</v>
      </c>
      <c r="AV84" s="28">
        <f t="shared" si="82"/>
        <v>307.9</v>
      </c>
      <c r="AW84" s="24">
        <f t="shared" si="83"/>
        <v>5</v>
      </c>
      <c r="AX84" s="24">
        <f t="shared" si="84"/>
        <v>0</v>
      </c>
      <c r="AY84" s="24">
        <f t="shared" si="85"/>
        <v>5</v>
      </c>
      <c r="AZ84" s="156">
        <f t="shared" si="86"/>
        <v>52272</v>
      </c>
      <c r="BA84" s="35">
        <f t="shared" si="87"/>
        <v>0.2376</v>
      </c>
      <c r="BB84" s="35">
        <f t="shared" si="88"/>
        <v>33.5016</v>
      </c>
      <c r="BC84" s="36">
        <f t="shared" si="89"/>
        <v>40.84344</v>
      </c>
      <c r="BD84" s="36">
        <f t="shared" si="90"/>
        <v>74.34504000000001</v>
      </c>
      <c r="BE84" s="36" t="str">
        <f t="shared" si="91"/>
        <v>yes</v>
      </c>
      <c r="BF84" s="37">
        <f t="shared" si="92"/>
        <v>0.2376</v>
      </c>
      <c r="BG84" s="37">
        <f t="shared" si="93"/>
        <v>32.3136</v>
      </c>
      <c r="BH84" s="36">
        <f t="shared" si="94"/>
        <v>40.84344</v>
      </c>
      <c r="BI84" s="38">
        <f t="shared" si="95"/>
        <v>73.15704</v>
      </c>
      <c r="BJ84" s="1" t="str">
        <f t="shared" si="96"/>
        <v>yes</v>
      </c>
      <c r="BK84" s="37">
        <f t="shared" si="57"/>
        <v>1.1880000000000024</v>
      </c>
      <c r="BL84" s="37">
        <f t="shared" si="57"/>
        <v>0</v>
      </c>
      <c r="BM84" s="7">
        <f t="shared" si="97"/>
        <v>1.1880000000000166</v>
      </c>
      <c r="BN84" s="7">
        <f t="shared" si="98"/>
        <v>0</v>
      </c>
      <c r="BO84" s="7"/>
      <c r="BP84" s="7"/>
      <c r="BR84" s="7"/>
    </row>
    <row r="85" spans="2:70" ht="18" customHeight="1">
      <c r="B85" s="4" t="s">
        <v>12</v>
      </c>
      <c r="C85" s="4" t="s">
        <v>95</v>
      </c>
      <c r="D85" s="157" t="s">
        <v>157</v>
      </c>
      <c r="E85" s="158" t="s">
        <v>175</v>
      </c>
      <c r="F85" s="79">
        <f t="shared" si="59"/>
        <v>52272</v>
      </c>
      <c r="G85" s="80">
        <f t="shared" si="60"/>
        <v>40</v>
      </c>
      <c r="H85" s="149">
        <f t="shared" si="61"/>
        <v>4</v>
      </c>
      <c r="I85" s="150">
        <f t="shared" si="62"/>
        <v>76.4478</v>
      </c>
      <c r="J85" s="83">
        <f t="shared" si="63"/>
        <v>71.96904</v>
      </c>
      <c r="K85" s="84">
        <f t="shared" si="64"/>
        <v>73.15704</v>
      </c>
      <c r="L85" s="151">
        <f t="shared" si="65"/>
        <v>31.125600000000002</v>
      </c>
      <c r="M85" s="152">
        <f t="shared" si="66"/>
        <v>32.3136</v>
      </c>
      <c r="N85" s="188">
        <f t="shared" si="67"/>
        <v>0.03816793893129766</v>
      </c>
      <c r="O85" s="153">
        <f t="shared" si="68"/>
        <v>40.84344</v>
      </c>
      <c r="P85" s="154">
        <f t="shared" si="69"/>
        <v>40.84344</v>
      </c>
      <c r="Q85" s="176">
        <f t="shared" si="70"/>
        <v>0</v>
      </c>
      <c r="R85" s="100">
        <f t="shared" si="71"/>
        <v>1.1879999999999882</v>
      </c>
      <c r="S85" s="184">
        <f t="shared" si="72"/>
        <v>0.016507098052162265</v>
      </c>
      <c r="U85" s="208" t="s">
        <v>95</v>
      </c>
      <c r="V85" s="4" t="s">
        <v>12</v>
      </c>
      <c r="X85" s="155">
        <v>128</v>
      </c>
      <c r="Y85" s="155">
        <v>131</v>
      </c>
      <c r="Z85" s="155">
        <v>136</v>
      </c>
      <c r="AA85" s="155">
        <v>164.5</v>
      </c>
      <c r="AB85" s="155"/>
      <c r="AC85" s="155">
        <v>171.9</v>
      </c>
      <c r="AD85" s="155"/>
      <c r="AE85" s="155">
        <v>171.9</v>
      </c>
      <c r="AF85" s="155"/>
      <c r="AG85" s="32">
        <f t="shared" si="73"/>
        <v>292.5</v>
      </c>
      <c r="AH85" s="32">
        <f t="shared" si="74"/>
        <v>302.9</v>
      </c>
      <c r="AI85" s="32">
        <f t="shared" si="75"/>
        <v>307.9</v>
      </c>
      <c r="AJ85" s="26"/>
      <c r="AK85" s="33">
        <v>200000</v>
      </c>
      <c r="AL85" s="26"/>
      <c r="AM85" s="33">
        <v>220000</v>
      </c>
      <c r="AN85" s="26"/>
      <c r="AO85" s="33">
        <v>220000</v>
      </c>
      <c r="AP85" s="67">
        <f t="shared" si="76"/>
        <v>200000</v>
      </c>
      <c r="AQ85" s="34">
        <f t="shared" si="77"/>
        <v>110.00000000000001</v>
      </c>
      <c r="AR85" s="67">
        <f t="shared" si="78"/>
        <v>220000</v>
      </c>
      <c r="AS85" s="34">
        <f t="shared" si="79"/>
        <v>100</v>
      </c>
      <c r="AT85" s="28">
        <f t="shared" si="80"/>
        <v>131</v>
      </c>
      <c r="AU85" s="28">
        <f t="shared" si="81"/>
        <v>171.9</v>
      </c>
      <c r="AV85" s="28">
        <f t="shared" si="82"/>
        <v>302.9</v>
      </c>
      <c r="AW85" s="24">
        <f t="shared" si="83"/>
        <v>5</v>
      </c>
      <c r="AX85" s="24">
        <f t="shared" si="84"/>
        <v>0</v>
      </c>
      <c r="AY85" s="24">
        <f t="shared" si="85"/>
        <v>5</v>
      </c>
      <c r="AZ85" s="156">
        <f t="shared" si="86"/>
        <v>52272</v>
      </c>
      <c r="BA85" s="35">
        <f t="shared" si="87"/>
        <v>0.2376</v>
      </c>
      <c r="BB85" s="35">
        <f t="shared" si="88"/>
        <v>32.3136</v>
      </c>
      <c r="BC85" s="36">
        <f t="shared" si="89"/>
        <v>40.84344</v>
      </c>
      <c r="BD85" s="36">
        <f t="shared" si="90"/>
        <v>73.15704</v>
      </c>
      <c r="BE85" s="36" t="str">
        <f t="shared" si="91"/>
        <v>yes</v>
      </c>
      <c r="BF85" s="37">
        <f t="shared" si="92"/>
        <v>0.2376</v>
      </c>
      <c r="BG85" s="37">
        <f t="shared" si="93"/>
        <v>31.125600000000002</v>
      </c>
      <c r="BH85" s="36">
        <f t="shared" si="94"/>
        <v>40.84344</v>
      </c>
      <c r="BI85" s="38">
        <f t="shared" si="95"/>
        <v>71.96904</v>
      </c>
      <c r="BJ85" s="1" t="str">
        <f t="shared" si="96"/>
        <v>yes</v>
      </c>
      <c r="BK85" s="37">
        <f t="shared" si="57"/>
        <v>1.1879999999999988</v>
      </c>
      <c r="BL85" s="37">
        <f t="shared" si="57"/>
        <v>0</v>
      </c>
      <c r="BM85" s="7">
        <f t="shared" si="97"/>
        <v>1.1879999999999882</v>
      </c>
      <c r="BN85" s="7">
        <f t="shared" si="98"/>
        <v>0</v>
      </c>
      <c r="BO85" s="7"/>
      <c r="BP85" s="7"/>
      <c r="BR85" s="7"/>
    </row>
    <row r="86" spans="4:66" ht="18" customHeight="1">
      <c r="D86" s="157" t="s">
        <v>116</v>
      </c>
      <c r="E86" s="158" t="s">
        <v>33</v>
      </c>
      <c r="F86" s="79">
        <f t="shared" si="59"/>
        <v>52272</v>
      </c>
      <c r="G86" s="80">
        <f t="shared" si="60"/>
        <v>40</v>
      </c>
      <c r="H86" s="149">
        <f t="shared" si="61"/>
        <v>4</v>
      </c>
      <c r="I86" s="150">
        <f t="shared" si="62"/>
        <v>0</v>
      </c>
      <c r="J86" s="83">
        <f t="shared" si="63"/>
        <v>0</v>
      </c>
      <c r="K86" s="84">
        <f t="shared" si="64"/>
        <v>65.40818086956523</v>
      </c>
      <c r="L86" s="151">
        <f t="shared" si="65"/>
      </c>
      <c r="M86" s="152">
        <f t="shared" si="66"/>
        <v>24.545113043478263</v>
      </c>
      <c r="N86" s="188" t="str">
        <f t="shared" si="67"/>
        <v>New</v>
      </c>
      <c r="O86" s="153">
        <f t="shared" si="68"/>
      </c>
      <c r="P86" s="154">
        <f t="shared" si="69"/>
        <v>40.86306782608696</v>
      </c>
      <c r="Q86" s="176" t="str">
        <f t="shared" si="70"/>
        <v>New</v>
      </c>
      <c r="R86" s="100" t="str">
        <f t="shared" si="71"/>
        <v>New</v>
      </c>
      <c r="S86" s="184">
        <f t="shared" si="72"/>
      </c>
      <c r="U86" s="208" t="s">
        <v>34</v>
      </c>
      <c r="V86" s="4" t="s">
        <v>12</v>
      </c>
      <c r="X86" s="163"/>
      <c r="Y86" s="163"/>
      <c r="Z86" s="163">
        <v>108</v>
      </c>
      <c r="AA86" s="206"/>
      <c r="AB86" s="163"/>
      <c r="AC86" s="206"/>
      <c r="AD86" s="163"/>
      <c r="AE86" s="206">
        <v>179.8</v>
      </c>
      <c r="AF86" s="163"/>
      <c r="AG86" s="32">
        <f t="shared" si="73"/>
        <v>0</v>
      </c>
      <c r="AH86" s="32">
        <f t="shared" si="74"/>
        <v>0</v>
      </c>
      <c r="AI86" s="32">
        <f t="shared" si="75"/>
        <v>287.8</v>
      </c>
      <c r="AJ86" s="33"/>
      <c r="AK86" s="33">
        <v>230000</v>
      </c>
      <c r="AL86" s="33"/>
      <c r="AM86" s="33">
        <v>230000</v>
      </c>
      <c r="AN86" s="33"/>
      <c r="AO86" s="33">
        <v>230000</v>
      </c>
      <c r="AP86" s="67">
        <f t="shared" si="76"/>
        <v>230000</v>
      </c>
      <c r="AQ86" s="34">
        <f t="shared" si="77"/>
        <v>100</v>
      </c>
      <c r="AR86" s="67">
        <f t="shared" si="78"/>
        <v>230000</v>
      </c>
      <c r="AS86" s="34">
        <f t="shared" si="79"/>
        <v>100</v>
      </c>
      <c r="AT86" s="28">
        <f t="shared" si="80"/>
      </c>
      <c r="AU86" s="28">
        <f t="shared" si="81"/>
      </c>
      <c r="AV86" s="28">
        <f t="shared" si="82"/>
      </c>
      <c r="AW86" s="24">
        <f t="shared" si="83"/>
      </c>
      <c r="AX86" s="24">
        <f t="shared" si="84"/>
      </c>
      <c r="AY86" s="24" t="str">
        <f t="shared" si="85"/>
        <v>New</v>
      </c>
      <c r="AZ86" s="156">
        <f t="shared" si="86"/>
        <v>52272</v>
      </c>
      <c r="BA86" s="35">
        <f t="shared" si="87"/>
        <v>0.2272695652173913</v>
      </c>
      <c r="BB86" s="35">
        <f t="shared" si="88"/>
        <v>24.545113043478263</v>
      </c>
      <c r="BC86" s="36">
        <f t="shared" si="89"/>
        <v>40.86306782608696</v>
      </c>
      <c r="BD86" s="36">
        <f t="shared" si="90"/>
        <v>65.40818086956523</v>
      </c>
      <c r="BE86" s="36" t="str">
        <f t="shared" si="91"/>
        <v>yes</v>
      </c>
      <c r="BF86" s="37">
        <f t="shared" si="92"/>
        <v>0.2272695652173913</v>
      </c>
      <c r="BG86" s="37">
        <f t="shared" si="93"/>
      </c>
      <c r="BH86" s="36">
        <f t="shared" si="94"/>
        <v>0</v>
      </c>
      <c r="BI86" s="38">
        <f t="shared" si="95"/>
        <v>0</v>
      </c>
      <c r="BJ86" s="1" t="str">
        <f t="shared" si="96"/>
        <v>yes</v>
      </c>
      <c r="BK86" s="37">
        <f t="shared" si="57"/>
      </c>
      <c r="BL86" s="37">
        <f t="shared" si="58"/>
      </c>
      <c r="BM86" s="7">
        <f t="shared" si="97"/>
      </c>
      <c r="BN86" s="7" t="e">
        <f t="shared" si="98"/>
        <v>#VALUE!</v>
      </c>
    </row>
    <row r="87" spans="2:66" ht="18" customHeight="1">
      <c r="B87" s="4" t="s">
        <v>12</v>
      </c>
      <c r="C87" s="4" t="s">
        <v>95</v>
      </c>
      <c r="D87" s="157" t="s">
        <v>116</v>
      </c>
      <c r="E87" s="158" t="s">
        <v>21</v>
      </c>
      <c r="F87" s="79">
        <f t="shared" si="59"/>
        <v>52272</v>
      </c>
      <c r="G87" s="80">
        <f t="shared" si="60"/>
        <v>40</v>
      </c>
      <c r="H87" s="149">
        <f t="shared" si="61"/>
        <v>4</v>
      </c>
      <c r="I87" s="150">
        <f t="shared" si="62"/>
        <v>68.15814260869564</v>
      </c>
      <c r="J87" s="83">
        <f t="shared" si="63"/>
        <v>65.40818086956523</v>
      </c>
      <c r="K87" s="84">
        <f t="shared" si="64"/>
        <v>65.40818086956523</v>
      </c>
      <c r="L87" s="151">
        <f t="shared" si="65"/>
        <v>24.545113043478263</v>
      </c>
      <c r="M87" s="152">
        <f t="shared" si="66"/>
        <v>24.545113043478263</v>
      </c>
      <c r="N87" s="188">
        <f t="shared" si="67"/>
        <v>0</v>
      </c>
      <c r="O87" s="153">
        <f t="shared" si="68"/>
        <v>40.86306782608696</v>
      </c>
      <c r="P87" s="154">
        <f t="shared" si="69"/>
        <v>40.86306782608696</v>
      </c>
      <c r="Q87" s="176">
        <f t="shared" si="70"/>
        <v>0</v>
      </c>
      <c r="R87" s="100">
        <f t="shared" si="71"/>
        <v>0</v>
      </c>
      <c r="S87" s="184">
        <f t="shared" si="72"/>
        <v>0</v>
      </c>
      <c r="U87" s="208" t="s">
        <v>95</v>
      </c>
      <c r="V87" s="4" t="s">
        <v>12</v>
      </c>
      <c r="X87" s="32">
        <v>128</v>
      </c>
      <c r="Y87" s="32">
        <v>108</v>
      </c>
      <c r="Z87" s="32">
        <v>108</v>
      </c>
      <c r="AA87" s="32">
        <v>171.9</v>
      </c>
      <c r="AB87" s="32"/>
      <c r="AC87" s="32">
        <v>179.8</v>
      </c>
      <c r="AD87" s="32"/>
      <c r="AE87" s="32">
        <v>179.8</v>
      </c>
      <c r="AF87" s="32"/>
      <c r="AG87" s="32">
        <f t="shared" si="73"/>
        <v>299.9</v>
      </c>
      <c r="AH87" s="32">
        <f t="shared" si="74"/>
        <v>287.8</v>
      </c>
      <c r="AI87" s="32">
        <f t="shared" si="75"/>
        <v>287.8</v>
      </c>
      <c r="AJ87" s="26"/>
      <c r="AK87" s="33">
        <v>230000</v>
      </c>
      <c r="AL87" s="26"/>
      <c r="AM87" s="33">
        <v>230000</v>
      </c>
      <c r="AN87" s="26"/>
      <c r="AO87" s="33">
        <v>230000</v>
      </c>
      <c r="AP87" s="67">
        <f t="shared" si="76"/>
        <v>230000</v>
      </c>
      <c r="AQ87" s="34">
        <f t="shared" si="77"/>
        <v>100</v>
      </c>
      <c r="AR87" s="67">
        <f t="shared" si="78"/>
        <v>230000</v>
      </c>
      <c r="AS87" s="34">
        <f t="shared" si="79"/>
        <v>100</v>
      </c>
      <c r="AT87" s="28">
        <f t="shared" si="80"/>
        <v>108</v>
      </c>
      <c r="AU87" s="28">
        <f t="shared" si="81"/>
        <v>179.8</v>
      </c>
      <c r="AV87" s="28">
        <f t="shared" si="82"/>
        <v>287.8</v>
      </c>
      <c r="AW87" s="24">
        <f t="shared" si="83"/>
        <v>0</v>
      </c>
      <c r="AX87" s="24">
        <f t="shared" si="84"/>
        <v>0</v>
      </c>
      <c r="AY87" s="24">
        <f t="shared" si="85"/>
        <v>0</v>
      </c>
      <c r="AZ87" s="156">
        <f t="shared" si="86"/>
        <v>52272</v>
      </c>
      <c r="BA87" s="35">
        <f t="shared" si="87"/>
        <v>0.2272695652173913</v>
      </c>
      <c r="BB87" s="35">
        <f t="shared" si="88"/>
        <v>24.545113043478263</v>
      </c>
      <c r="BC87" s="36">
        <f t="shared" si="89"/>
        <v>40.86306782608696</v>
      </c>
      <c r="BD87" s="36">
        <f t="shared" si="90"/>
        <v>65.40818086956523</v>
      </c>
      <c r="BE87" s="36" t="str">
        <f t="shared" si="91"/>
        <v>yes</v>
      </c>
      <c r="BF87" s="37">
        <f t="shared" si="92"/>
        <v>0.2272695652173913</v>
      </c>
      <c r="BG87" s="37">
        <f t="shared" si="93"/>
        <v>24.545113043478263</v>
      </c>
      <c r="BH87" s="36">
        <f t="shared" si="94"/>
        <v>40.86306782608696</v>
      </c>
      <c r="BI87" s="38">
        <f t="shared" si="95"/>
        <v>65.40818086956523</v>
      </c>
      <c r="BJ87" s="1" t="str">
        <f t="shared" si="96"/>
        <v>yes</v>
      </c>
      <c r="BK87" s="37">
        <f t="shared" si="57"/>
        <v>0</v>
      </c>
      <c r="BL87" s="37">
        <f t="shared" si="58"/>
        <v>0</v>
      </c>
      <c r="BM87" s="7">
        <f t="shared" si="97"/>
        <v>0</v>
      </c>
      <c r="BN87" s="7">
        <f t="shared" si="98"/>
        <v>0</v>
      </c>
    </row>
    <row r="88" spans="2:66" ht="18" customHeight="1">
      <c r="B88" s="4" t="s">
        <v>12</v>
      </c>
      <c r="C88" s="4" t="s">
        <v>95</v>
      </c>
      <c r="D88" s="157" t="s">
        <v>116</v>
      </c>
      <c r="E88" s="158" t="s">
        <v>236</v>
      </c>
      <c r="F88" s="79">
        <f t="shared" si="59"/>
        <v>52272</v>
      </c>
      <c r="G88" s="80">
        <f t="shared" si="60"/>
        <v>40</v>
      </c>
      <c r="H88" s="149">
        <f t="shared" si="61"/>
        <v>4</v>
      </c>
      <c r="I88" s="150">
        <f t="shared" si="62"/>
        <v>68.15814260869564</v>
      </c>
      <c r="J88" s="83">
        <f t="shared" si="63"/>
        <v>65.40818086956523</v>
      </c>
      <c r="K88" s="84">
        <f t="shared" si="64"/>
        <v>65.40818086956523</v>
      </c>
      <c r="L88" s="151">
        <f t="shared" si="65"/>
        <v>24.545113043478263</v>
      </c>
      <c r="M88" s="152">
        <f t="shared" si="66"/>
        <v>24.545113043478263</v>
      </c>
      <c r="N88" s="188">
        <f t="shared" si="67"/>
        <v>0</v>
      </c>
      <c r="O88" s="153">
        <f t="shared" si="68"/>
        <v>40.86306782608696</v>
      </c>
      <c r="P88" s="154">
        <f t="shared" si="69"/>
        <v>40.86306782608696</v>
      </c>
      <c r="Q88" s="176">
        <f t="shared" si="70"/>
        <v>0</v>
      </c>
      <c r="R88" s="100">
        <f t="shared" si="71"/>
        <v>0</v>
      </c>
      <c r="S88" s="184">
        <f t="shared" si="72"/>
        <v>0</v>
      </c>
      <c r="U88" s="208" t="s">
        <v>95</v>
      </c>
      <c r="V88" s="4" t="s">
        <v>12</v>
      </c>
      <c r="X88" s="155">
        <v>128</v>
      </c>
      <c r="Y88" s="155">
        <v>108</v>
      </c>
      <c r="Z88" s="155">
        <v>108</v>
      </c>
      <c r="AA88" s="32">
        <v>171.9</v>
      </c>
      <c r="AB88" s="155"/>
      <c r="AC88" s="32">
        <v>179.8</v>
      </c>
      <c r="AD88" s="155"/>
      <c r="AE88" s="32">
        <v>179.8</v>
      </c>
      <c r="AF88" s="155"/>
      <c r="AG88" s="32">
        <f t="shared" si="73"/>
        <v>299.9</v>
      </c>
      <c r="AH88" s="32">
        <f t="shared" si="74"/>
        <v>287.8</v>
      </c>
      <c r="AI88" s="32">
        <f t="shared" si="75"/>
        <v>287.8</v>
      </c>
      <c r="AJ88" s="33"/>
      <c r="AK88" s="33">
        <v>230000</v>
      </c>
      <c r="AL88" s="33"/>
      <c r="AM88" s="33">
        <v>230000</v>
      </c>
      <c r="AN88" s="33"/>
      <c r="AO88" s="33">
        <v>230000</v>
      </c>
      <c r="AP88" s="67">
        <f t="shared" si="76"/>
        <v>230000</v>
      </c>
      <c r="AQ88" s="34">
        <f t="shared" si="77"/>
        <v>100</v>
      </c>
      <c r="AR88" s="67">
        <f t="shared" si="78"/>
        <v>230000</v>
      </c>
      <c r="AS88" s="34">
        <f t="shared" si="79"/>
        <v>100</v>
      </c>
      <c r="AT88" s="28">
        <f t="shared" si="80"/>
        <v>108</v>
      </c>
      <c r="AU88" s="28">
        <f t="shared" si="81"/>
        <v>179.8</v>
      </c>
      <c r="AV88" s="28">
        <f t="shared" si="82"/>
        <v>287.8</v>
      </c>
      <c r="AW88" s="24">
        <f t="shared" si="83"/>
        <v>0</v>
      </c>
      <c r="AX88" s="24">
        <f t="shared" si="84"/>
        <v>0</v>
      </c>
      <c r="AY88" s="24">
        <f t="shared" si="85"/>
        <v>0</v>
      </c>
      <c r="AZ88" s="156">
        <f t="shared" si="86"/>
        <v>52272</v>
      </c>
      <c r="BA88" s="35">
        <f t="shared" si="87"/>
        <v>0.2272695652173913</v>
      </c>
      <c r="BB88" s="35">
        <f t="shared" si="88"/>
        <v>24.545113043478263</v>
      </c>
      <c r="BC88" s="36">
        <f t="shared" si="89"/>
        <v>40.86306782608696</v>
      </c>
      <c r="BD88" s="36">
        <f t="shared" si="90"/>
        <v>65.40818086956523</v>
      </c>
      <c r="BE88" s="36" t="str">
        <f t="shared" si="91"/>
        <v>yes</v>
      </c>
      <c r="BF88" s="37">
        <f t="shared" si="92"/>
        <v>0.2272695652173913</v>
      </c>
      <c r="BG88" s="37">
        <f t="shared" si="93"/>
        <v>24.545113043478263</v>
      </c>
      <c r="BH88" s="36">
        <f t="shared" si="94"/>
        <v>40.86306782608696</v>
      </c>
      <c r="BI88" s="38">
        <f t="shared" si="95"/>
        <v>65.40818086956523</v>
      </c>
      <c r="BJ88" s="1" t="str">
        <f t="shared" si="96"/>
        <v>yes</v>
      </c>
      <c r="BK88" s="37">
        <f t="shared" si="57"/>
        <v>0</v>
      </c>
      <c r="BL88" s="37">
        <f t="shared" si="58"/>
        <v>0</v>
      </c>
      <c r="BM88" s="7">
        <f t="shared" si="97"/>
        <v>0</v>
      </c>
      <c r="BN88" s="7">
        <f t="shared" si="98"/>
        <v>0</v>
      </c>
    </row>
    <row r="89" spans="2:66" ht="18" customHeight="1">
      <c r="B89" s="4" t="s">
        <v>12</v>
      </c>
      <c r="C89" s="4" t="s">
        <v>95</v>
      </c>
      <c r="D89" s="157" t="s">
        <v>116</v>
      </c>
      <c r="E89" s="158" t="s">
        <v>22</v>
      </c>
      <c r="F89" s="79">
        <f t="shared" si="59"/>
        <v>52272</v>
      </c>
      <c r="G89" s="80">
        <f t="shared" si="60"/>
        <v>40</v>
      </c>
      <c r="H89" s="149">
        <f t="shared" si="61"/>
        <v>4</v>
      </c>
      <c r="I89" s="150">
        <f t="shared" si="62"/>
        <v>68.15814260869564</v>
      </c>
      <c r="J89" s="83">
        <f t="shared" si="63"/>
        <v>65.40818086956523</v>
      </c>
      <c r="K89" s="84">
        <f t="shared" si="64"/>
        <v>65.40818086956523</v>
      </c>
      <c r="L89" s="151">
        <f t="shared" si="65"/>
        <v>24.545113043478263</v>
      </c>
      <c r="M89" s="152">
        <f t="shared" si="66"/>
        <v>24.545113043478263</v>
      </c>
      <c r="N89" s="188">
        <f t="shared" si="67"/>
        <v>0</v>
      </c>
      <c r="O89" s="153">
        <f t="shared" si="68"/>
        <v>40.86306782608696</v>
      </c>
      <c r="P89" s="154">
        <f t="shared" si="69"/>
        <v>40.86306782608696</v>
      </c>
      <c r="Q89" s="176">
        <f t="shared" si="70"/>
        <v>0</v>
      </c>
      <c r="R89" s="100">
        <f t="shared" si="71"/>
        <v>0</v>
      </c>
      <c r="S89" s="184">
        <f t="shared" si="72"/>
        <v>0</v>
      </c>
      <c r="U89" s="208" t="s">
        <v>95</v>
      </c>
      <c r="V89" s="4" t="s">
        <v>12</v>
      </c>
      <c r="X89" s="32">
        <v>128</v>
      </c>
      <c r="Y89" s="32">
        <v>108</v>
      </c>
      <c r="Z89" s="32">
        <v>108</v>
      </c>
      <c r="AA89" s="32">
        <v>171.9</v>
      </c>
      <c r="AB89" s="32"/>
      <c r="AC89" s="32">
        <v>179.8</v>
      </c>
      <c r="AD89" s="32"/>
      <c r="AE89" s="32">
        <v>179.8</v>
      </c>
      <c r="AF89" s="32"/>
      <c r="AG89" s="32">
        <f t="shared" si="73"/>
        <v>299.9</v>
      </c>
      <c r="AH89" s="32">
        <f t="shared" si="74"/>
        <v>287.8</v>
      </c>
      <c r="AI89" s="32">
        <f t="shared" si="75"/>
        <v>287.8</v>
      </c>
      <c r="AJ89" s="26"/>
      <c r="AK89" s="33">
        <v>230000</v>
      </c>
      <c r="AL89" s="26"/>
      <c r="AM89" s="33">
        <v>230000</v>
      </c>
      <c r="AN89" s="26"/>
      <c r="AO89" s="33">
        <v>230000</v>
      </c>
      <c r="AP89" s="67">
        <f t="shared" si="76"/>
        <v>230000</v>
      </c>
      <c r="AQ89" s="34">
        <f t="shared" si="77"/>
        <v>100</v>
      </c>
      <c r="AR89" s="67">
        <f t="shared" si="78"/>
        <v>230000</v>
      </c>
      <c r="AS89" s="34">
        <f t="shared" si="79"/>
        <v>100</v>
      </c>
      <c r="AT89" s="28">
        <f t="shared" si="80"/>
        <v>108</v>
      </c>
      <c r="AU89" s="28">
        <f t="shared" si="81"/>
        <v>179.8</v>
      </c>
      <c r="AV89" s="28">
        <f t="shared" si="82"/>
        <v>287.8</v>
      </c>
      <c r="AW89" s="24">
        <f t="shared" si="83"/>
        <v>0</v>
      </c>
      <c r="AX89" s="24">
        <f t="shared" si="84"/>
        <v>0</v>
      </c>
      <c r="AY89" s="24">
        <f t="shared" si="85"/>
        <v>0</v>
      </c>
      <c r="AZ89" s="156">
        <f t="shared" si="86"/>
        <v>52272</v>
      </c>
      <c r="BA89" s="35">
        <f t="shared" si="87"/>
        <v>0.2272695652173913</v>
      </c>
      <c r="BB89" s="35">
        <f t="shared" si="88"/>
        <v>24.545113043478263</v>
      </c>
      <c r="BC89" s="36">
        <f t="shared" si="89"/>
        <v>40.86306782608696</v>
      </c>
      <c r="BD89" s="36">
        <f t="shared" si="90"/>
        <v>65.40818086956523</v>
      </c>
      <c r="BE89" s="36" t="str">
        <f t="shared" si="91"/>
        <v>yes</v>
      </c>
      <c r="BF89" s="37">
        <f t="shared" si="92"/>
        <v>0.2272695652173913</v>
      </c>
      <c r="BG89" s="37">
        <f t="shared" si="93"/>
        <v>24.545113043478263</v>
      </c>
      <c r="BH89" s="36">
        <f t="shared" si="94"/>
        <v>40.86306782608696</v>
      </c>
      <c r="BI89" s="38">
        <f t="shared" si="95"/>
        <v>65.40818086956523</v>
      </c>
      <c r="BJ89" s="1" t="str">
        <f t="shared" si="96"/>
        <v>yes</v>
      </c>
      <c r="BK89" s="37">
        <f t="shared" si="57"/>
        <v>0</v>
      </c>
      <c r="BL89" s="37">
        <f t="shared" si="58"/>
        <v>0</v>
      </c>
      <c r="BM89" s="7">
        <f t="shared" si="97"/>
        <v>0</v>
      </c>
      <c r="BN89" s="7">
        <f t="shared" si="98"/>
        <v>0</v>
      </c>
    </row>
    <row r="90" spans="3:66" ht="18" customHeight="1">
      <c r="C90" s="29"/>
      <c r="D90" s="157" t="s">
        <v>116</v>
      </c>
      <c r="E90" s="158" t="s">
        <v>35</v>
      </c>
      <c r="F90" s="79">
        <f t="shared" si="59"/>
        <v>52272</v>
      </c>
      <c r="G90" s="80">
        <f t="shared" si="60"/>
        <v>40</v>
      </c>
      <c r="H90" s="149">
        <f t="shared" si="61"/>
        <v>4</v>
      </c>
      <c r="I90" s="150">
        <f t="shared" si="62"/>
        <v>0</v>
      </c>
      <c r="J90" s="83">
        <f t="shared" si="63"/>
        <v>0</v>
      </c>
      <c r="K90" s="84">
        <f t="shared" si="64"/>
        <v>65.40818086956523</v>
      </c>
      <c r="L90" s="151">
        <f t="shared" si="65"/>
      </c>
      <c r="M90" s="152">
        <f t="shared" si="66"/>
        <v>24.545113043478263</v>
      </c>
      <c r="N90" s="188" t="str">
        <f t="shared" si="67"/>
        <v>New</v>
      </c>
      <c r="O90" s="153">
        <f t="shared" si="68"/>
      </c>
      <c r="P90" s="154">
        <f t="shared" si="69"/>
        <v>40.86306782608696</v>
      </c>
      <c r="Q90" s="176" t="str">
        <f t="shared" si="70"/>
        <v>New</v>
      </c>
      <c r="R90" s="100" t="str">
        <f t="shared" si="71"/>
        <v>New</v>
      </c>
      <c r="S90" s="184">
        <f t="shared" si="72"/>
      </c>
      <c r="U90" s="207" t="s">
        <v>34</v>
      </c>
      <c r="V90" s="4" t="s">
        <v>12</v>
      </c>
      <c r="X90" s="163"/>
      <c r="Y90" s="163"/>
      <c r="Z90" s="163">
        <v>108</v>
      </c>
      <c r="AA90" s="32"/>
      <c r="AB90" s="163"/>
      <c r="AC90" s="32"/>
      <c r="AD90" s="163"/>
      <c r="AE90" s="32">
        <v>179.8</v>
      </c>
      <c r="AF90" s="163"/>
      <c r="AG90" s="32">
        <f t="shared" si="73"/>
        <v>0</v>
      </c>
      <c r="AH90" s="32">
        <f t="shared" si="74"/>
        <v>0</v>
      </c>
      <c r="AI90" s="32">
        <f t="shared" si="75"/>
        <v>287.8</v>
      </c>
      <c r="AJ90" s="33"/>
      <c r="AK90" s="33">
        <v>230000</v>
      </c>
      <c r="AL90" s="33"/>
      <c r="AM90" s="33">
        <v>230000</v>
      </c>
      <c r="AN90" s="33"/>
      <c r="AO90" s="33">
        <v>230000</v>
      </c>
      <c r="AP90" s="67">
        <f t="shared" si="76"/>
        <v>230000</v>
      </c>
      <c r="AQ90" s="34">
        <f t="shared" si="77"/>
        <v>100</v>
      </c>
      <c r="AR90" s="67">
        <f t="shared" si="78"/>
        <v>230000</v>
      </c>
      <c r="AS90" s="34">
        <f t="shared" si="79"/>
        <v>100</v>
      </c>
      <c r="AT90" s="28">
        <f t="shared" si="80"/>
      </c>
      <c r="AU90" s="28">
        <f t="shared" si="81"/>
      </c>
      <c r="AV90" s="28">
        <f t="shared" si="82"/>
      </c>
      <c r="AW90" s="24">
        <f t="shared" si="83"/>
      </c>
      <c r="AX90" s="24">
        <f t="shared" si="84"/>
      </c>
      <c r="AY90" s="24" t="str">
        <f t="shared" si="85"/>
        <v>New</v>
      </c>
      <c r="AZ90" s="156">
        <f t="shared" si="86"/>
        <v>52272</v>
      </c>
      <c r="BA90" s="35">
        <f t="shared" si="87"/>
        <v>0.2272695652173913</v>
      </c>
      <c r="BB90" s="35">
        <f t="shared" si="88"/>
        <v>24.545113043478263</v>
      </c>
      <c r="BC90" s="36">
        <f t="shared" si="89"/>
        <v>40.86306782608696</v>
      </c>
      <c r="BD90" s="36">
        <f t="shared" si="90"/>
        <v>65.40818086956523</v>
      </c>
      <c r="BE90" s="36" t="str">
        <f t="shared" si="91"/>
        <v>yes</v>
      </c>
      <c r="BF90" s="37">
        <f t="shared" si="92"/>
        <v>0.2272695652173913</v>
      </c>
      <c r="BG90" s="37">
        <f t="shared" si="93"/>
      </c>
      <c r="BH90" s="36">
        <f t="shared" si="94"/>
        <v>0</v>
      </c>
      <c r="BI90" s="38">
        <f t="shared" si="95"/>
        <v>0</v>
      </c>
      <c r="BJ90" s="1" t="str">
        <f t="shared" si="96"/>
        <v>yes</v>
      </c>
      <c r="BK90" s="37">
        <f t="shared" si="57"/>
      </c>
      <c r="BL90" s="37">
        <f t="shared" si="58"/>
      </c>
      <c r="BM90" s="7">
        <f t="shared" si="97"/>
      </c>
      <c r="BN90" s="7" t="e">
        <f t="shared" si="98"/>
        <v>#VALUE!</v>
      </c>
    </row>
    <row r="91" spans="3:66" ht="18" customHeight="1">
      <c r="C91" s="29"/>
      <c r="D91" s="157" t="s">
        <v>116</v>
      </c>
      <c r="E91" s="158" t="s">
        <v>36</v>
      </c>
      <c r="F91" s="79">
        <f t="shared" si="59"/>
        <v>52272</v>
      </c>
      <c r="G91" s="80">
        <f t="shared" si="60"/>
        <v>40</v>
      </c>
      <c r="H91" s="149">
        <f t="shared" si="61"/>
        <v>4</v>
      </c>
      <c r="I91" s="150">
        <f t="shared" si="62"/>
        <v>0</v>
      </c>
      <c r="J91" s="83">
        <f t="shared" si="63"/>
        <v>0</v>
      </c>
      <c r="K91" s="84">
        <f t="shared" si="64"/>
        <v>65.40818086956523</v>
      </c>
      <c r="L91" s="151">
        <f t="shared" si="65"/>
      </c>
      <c r="M91" s="152">
        <f t="shared" si="66"/>
        <v>24.545113043478263</v>
      </c>
      <c r="N91" s="188" t="str">
        <f t="shared" si="67"/>
        <v>New</v>
      </c>
      <c r="O91" s="153">
        <f t="shared" si="68"/>
      </c>
      <c r="P91" s="154">
        <f t="shared" si="69"/>
        <v>40.86306782608696</v>
      </c>
      <c r="Q91" s="176" t="str">
        <f t="shared" si="70"/>
        <v>New</v>
      </c>
      <c r="R91" s="100" t="str">
        <f t="shared" si="71"/>
        <v>New</v>
      </c>
      <c r="S91" s="184">
        <f t="shared" si="72"/>
      </c>
      <c r="U91" s="207" t="s">
        <v>34</v>
      </c>
      <c r="V91" s="4" t="s">
        <v>12</v>
      </c>
      <c r="X91" s="163"/>
      <c r="Y91" s="163"/>
      <c r="Z91" s="163">
        <v>108</v>
      </c>
      <c r="AA91" s="32"/>
      <c r="AB91" s="163"/>
      <c r="AC91" s="32"/>
      <c r="AD91" s="163"/>
      <c r="AE91" s="32">
        <v>179.8</v>
      </c>
      <c r="AF91" s="163"/>
      <c r="AG91" s="32">
        <f t="shared" si="73"/>
        <v>0</v>
      </c>
      <c r="AH91" s="32">
        <f t="shared" si="74"/>
        <v>0</v>
      </c>
      <c r="AI91" s="32">
        <f t="shared" si="75"/>
        <v>287.8</v>
      </c>
      <c r="AJ91" s="33"/>
      <c r="AK91" s="33">
        <v>230000</v>
      </c>
      <c r="AL91" s="33"/>
      <c r="AM91" s="33">
        <v>230000</v>
      </c>
      <c r="AN91" s="33"/>
      <c r="AO91" s="33">
        <v>230000</v>
      </c>
      <c r="AP91" s="67">
        <f t="shared" si="76"/>
        <v>230000</v>
      </c>
      <c r="AQ91" s="34">
        <f t="shared" si="77"/>
        <v>100</v>
      </c>
      <c r="AR91" s="67">
        <f t="shared" si="78"/>
        <v>230000</v>
      </c>
      <c r="AS91" s="34">
        <f t="shared" si="79"/>
        <v>100</v>
      </c>
      <c r="AT91" s="28">
        <f t="shared" si="80"/>
      </c>
      <c r="AU91" s="28">
        <f t="shared" si="81"/>
      </c>
      <c r="AV91" s="28">
        <f t="shared" si="82"/>
      </c>
      <c r="AW91" s="24">
        <f t="shared" si="83"/>
      </c>
      <c r="AX91" s="24">
        <f t="shared" si="84"/>
      </c>
      <c r="AY91" s="24" t="str">
        <f t="shared" si="85"/>
        <v>New</v>
      </c>
      <c r="AZ91" s="156">
        <f t="shared" si="86"/>
        <v>52272</v>
      </c>
      <c r="BA91" s="35">
        <f t="shared" si="87"/>
        <v>0.2272695652173913</v>
      </c>
      <c r="BB91" s="35">
        <f t="shared" si="88"/>
        <v>24.545113043478263</v>
      </c>
      <c r="BC91" s="36">
        <f t="shared" si="89"/>
        <v>40.86306782608696</v>
      </c>
      <c r="BD91" s="36">
        <f t="shared" si="90"/>
        <v>65.40818086956523</v>
      </c>
      <c r="BE91" s="36" t="str">
        <f t="shared" si="91"/>
        <v>yes</v>
      </c>
      <c r="BF91" s="37">
        <f t="shared" si="92"/>
        <v>0.2272695652173913</v>
      </c>
      <c r="BG91" s="37">
        <f t="shared" si="93"/>
      </c>
      <c r="BH91" s="36">
        <f t="shared" si="94"/>
        <v>0</v>
      </c>
      <c r="BI91" s="38">
        <f t="shared" si="95"/>
        <v>0</v>
      </c>
      <c r="BJ91" s="1" t="str">
        <f t="shared" si="96"/>
        <v>yes</v>
      </c>
      <c r="BK91" s="37">
        <f t="shared" si="57"/>
      </c>
      <c r="BL91" s="37">
        <f t="shared" si="58"/>
      </c>
      <c r="BM91" s="7">
        <f t="shared" si="97"/>
      </c>
      <c r="BN91" s="7" t="e">
        <f t="shared" si="98"/>
        <v>#VALUE!</v>
      </c>
    </row>
    <row r="92" spans="4:66" ht="18" customHeight="1">
      <c r="D92" s="157" t="s">
        <v>90</v>
      </c>
      <c r="E92" s="158" t="s">
        <v>106</v>
      </c>
      <c r="F92" s="79">
        <f t="shared" si="59"/>
        <v>52272</v>
      </c>
      <c r="G92" s="80">
        <f t="shared" si="60"/>
        <v>40</v>
      </c>
      <c r="H92" s="149">
        <f t="shared" si="61"/>
        <v>4</v>
      </c>
      <c r="I92" s="150">
        <f t="shared" si="62"/>
      </c>
      <c r="J92" s="83">
        <f t="shared" si="63"/>
        <v>73.15704</v>
      </c>
      <c r="K92" s="84">
        <f t="shared" si="64"/>
        <v>74.34504000000001</v>
      </c>
      <c r="L92" s="151">
        <f t="shared" si="65"/>
        <v>32.3136</v>
      </c>
      <c r="M92" s="152">
        <f t="shared" si="66"/>
        <v>33.5016</v>
      </c>
      <c r="N92" s="188">
        <f t="shared" si="67"/>
        <v>0.03676470588235303</v>
      </c>
      <c r="O92" s="153">
        <f t="shared" si="68"/>
        <v>40.84344</v>
      </c>
      <c r="P92" s="154">
        <f t="shared" si="69"/>
        <v>40.84344</v>
      </c>
      <c r="Q92" s="176">
        <f t="shared" si="70"/>
        <v>0</v>
      </c>
      <c r="R92" s="100">
        <f t="shared" si="71"/>
        <v>1.1880000000000166</v>
      </c>
      <c r="S92" s="184">
        <f t="shared" si="72"/>
        <v>0.016239038648912213</v>
      </c>
      <c r="U92" s="208" t="s">
        <v>108</v>
      </c>
      <c r="V92" s="4" t="s">
        <v>12</v>
      </c>
      <c r="X92" s="155"/>
      <c r="Y92" s="155">
        <v>136</v>
      </c>
      <c r="Z92" s="155">
        <v>141</v>
      </c>
      <c r="AA92" s="155"/>
      <c r="AB92" s="155"/>
      <c r="AC92" s="155">
        <v>171.9</v>
      </c>
      <c r="AD92" s="155"/>
      <c r="AE92" s="155">
        <v>171.9</v>
      </c>
      <c r="AF92" s="155"/>
      <c r="AG92" s="32">
        <f t="shared" si="73"/>
        <v>0</v>
      </c>
      <c r="AH92" s="32">
        <f t="shared" si="74"/>
        <v>307.9</v>
      </c>
      <c r="AI92" s="32">
        <f t="shared" si="75"/>
        <v>312.9</v>
      </c>
      <c r="AJ92" s="33"/>
      <c r="AK92" s="33"/>
      <c r="AL92" s="33"/>
      <c r="AM92" s="33">
        <v>220000</v>
      </c>
      <c r="AN92" s="33"/>
      <c r="AO92" s="33">
        <v>220000</v>
      </c>
      <c r="AP92" s="67">
        <f t="shared" si="76"/>
        <v>0</v>
      </c>
      <c r="AQ92" s="34" t="str">
        <f t="shared" si="77"/>
        <v>Not Avail.</v>
      </c>
      <c r="AR92" s="67">
        <f t="shared" si="78"/>
        <v>220000</v>
      </c>
      <c r="AS92" s="34">
        <f t="shared" si="79"/>
        <v>100</v>
      </c>
      <c r="AT92" s="28">
        <f t="shared" si="80"/>
        <v>136</v>
      </c>
      <c r="AU92" s="28">
        <f t="shared" si="81"/>
        <v>171.9</v>
      </c>
      <c r="AV92" s="28">
        <f t="shared" si="82"/>
        <v>307.9</v>
      </c>
      <c r="AW92" s="24">
        <f t="shared" si="83"/>
        <v>5</v>
      </c>
      <c r="AX92" s="24">
        <f t="shared" si="84"/>
        <v>0</v>
      </c>
      <c r="AY92" s="24">
        <f t="shared" si="85"/>
        <v>5</v>
      </c>
      <c r="AZ92" s="156">
        <f t="shared" si="86"/>
        <v>52272</v>
      </c>
      <c r="BA92" s="35">
        <f t="shared" si="87"/>
        <v>0.2376</v>
      </c>
      <c r="BB92" s="35">
        <f t="shared" si="88"/>
        <v>33.5016</v>
      </c>
      <c r="BC92" s="36">
        <f t="shared" si="89"/>
        <v>40.84344</v>
      </c>
      <c r="BD92" s="36">
        <f t="shared" si="90"/>
        <v>74.34504000000001</v>
      </c>
      <c r="BE92" s="36" t="str">
        <f t="shared" si="91"/>
        <v>yes</v>
      </c>
      <c r="BF92" s="37">
        <f t="shared" si="92"/>
        <v>0.2376</v>
      </c>
      <c r="BG92" s="37">
        <f t="shared" si="93"/>
        <v>32.3136</v>
      </c>
      <c r="BH92" s="36">
        <f t="shared" si="94"/>
        <v>40.84344</v>
      </c>
      <c r="BI92" s="38">
        <f t="shared" si="95"/>
        <v>73.15704</v>
      </c>
      <c r="BJ92" s="1" t="str">
        <f t="shared" si="96"/>
        <v>yes</v>
      </c>
      <c r="BK92" s="37">
        <f t="shared" si="57"/>
        <v>1.1880000000000024</v>
      </c>
      <c r="BL92" s="37">
        <f t="shared" si="58"/>
        <v>0</v>
      </c>
      <c r="BM92" s="7">
        <f t="shared" si="97"/>
        <v>1.1880000000000166</v>
      </c>
      <c r="BN92" s="7">
        <f t="shared" si="98"/>
        <v>0</v>
      </c>
    </row>
    <row r="93" spans="2:66" ht="18" customHeight="1">
      <c r="B93" s="4" t="s">
        <v>12</v>
      </c>
      <c r="C93" s="4" t="s">
        <v>95</v>
      </c>
      <c r="D93" s="157" t="s">
        <v>90</v>
      </c>
      <c r="E93" s="158" t="s">
        <v>235</v>
      </c>
      <c r="F93" s="79">
        <f t="shared" si="59"/>
        <v>52272</v>
      </c>
      <c r="G93" s="80">
        <f t="shared" si="60"/>
        <v>40</v>
      </c>
      <c r="H93" s="149">
        <f t="shared" si="61"/>
        <v>4</v>
      </c>
      <c r="I93" s="150">
        <f t="shared" si="62"/>
        <v>66.47634782608695</v>
      </c>
      <c r="J93" s="83">
        <f t="shared" si="63"/>
        <v>71.96904</v>
      </c>
      <c r="K93" s="84">
        <f t="shared" si="64"/>
        <v>73.15704</v>
      </c>
      <c r="L93" s="151">
        <f t="shared" si="65"/>
        <v>31.125600000000002</v>
      </c>
      <c r="M93" s="152">
        <f t="shared" si="66"/>
        <v>32.3136</v>
      </c>
      <c r="N93" s="188">
        <f t="shared" si="67"/>
        <v>0.03816793893129766</v>
      </c>
      <c r="O93" s="153">
        <f t="shared" si="68"/>
        <v>40.84344</v>
      </c>
      <c r="P93" s="154">
        <f t="shared" si="69"/>
        <v>40.84344</v>
      </c>
      <c r="Q93" s="176">
        <f t="shared" si="70"/>
        <v>0</v>
      </c>
      <c r="R93" s="100">
        <f t="shared" si="71"/>
        <v>1.1879999999999882</v>
      </c>
      <c r="S93" s="184">
        <f t="shared" si="72"/>
        <v>0.016507098052162265</v>
      </c>
      <c r="U93" s="208" t="s">
        <v>95</v>
      </c>
      <c r="V93" s="4" t="s">
        <v>12</v>
      </c>
      <c r="X93" s="155">
        <v>128</v>
      </c>
      <c r="Y93" s="155">
        <v>131</v>
      </c>
      <c r="Z93" s="155">
        <v>136</v>
      </c>
      <c r="AA93" s="155">
        <v>164.5</v>
      </c>
      <c r="AB93" s="155"/>
      <c r="AC93" s="155">
        <v>171.9</v>
      </c>
      <c r="AD93" s="155"/>
      <c r="AE93" s="155">
        <v>171.9</v>
      </c>
      <c r="AF93" s="155"/>
      <c r="AG93" s="32">
        <f t="shared" si="73"/>
        <v>292.5</v>
      </c>
      <c r="AH93" s="32">
        <f t="shared" si="74"/>
        <v>302.9</v>
      </c>
      <c r="AI93" s="32">
        <f t="shared" si="75"/>
        <v>307.9</v>
      </c>
      <c r="AJ93" s="33"/>
      <c r="AK93" s="33">
        <v>230000</v>
      </c>
      <c r="AL93" s="33"/>
      <c r="AM93" s="33">
        <v>220000</v>
      </c>
      <c r="AN93" s="33"/>
      <c r="AO93" s="33">
        <v>220000</v>
      </c>
      <c r="AP93" s="67">
        <f t="shared" si="76"/>
        <v>230000</v>
      </c>
      <c r="AQ93" s="34">
        <f t="shared" si="77"/>
        <v>95.65217391304348</v>
      </c>
      <c r="AR93" s="67">
        <f t="shared" si="78"/>
        <v>220000</v>
      </c>
      <c r="AS93" s="34">
        <f t="shared" si="79"/>
        <v>100</v>
      </c>
      <c r="AT93" s="28">
        <f t="shared" si="80"/>
        <v>131</v>
      </c>
      <c r="AU93" s="28">
        <f t="shared" si="81"/>
        <v>171.9</v>
      </c>
      <c r="AV93" s="28">
        <f t="shared" si="82"/>
        <v>302.9</v>
      </c>
      <c r="AW93" s="24">
        <f t="shared" si="83"/>
        <v>5</v>
      </c>
      <c r="AX93" s="24">
        <f t="shared" si="84"/>
        <v>0</v>
      </c>
      <c r="AY93" s="24">
        <f t="shared" si="85"/>
        <v>5</v>
      </c>
      <c r="AZ93" s="156">
        <f t="shared" si="86"/>
        <v>52272</v>
      </c>
      <c r="BA93" s="35">
        <f t="shared" si="87"/>
        <v>0.2376</v>
      </c>
      <c r="BB93" s="35">
        <f t="shared" si="88"/>
        <v>32.3136</v>
      </c>
      <c r="BC93" s="36">
        <f t="shared" si="89"/>
        <v>40.84344</v>
      </c>
      <c r="BD93" s="36">
        <f t="shared" si="90"/>
        <v>73.15704</v>
      </c>
      <c r="BE93" s="36" t="str">
        <f t="shared" si="91"/>
        <v>yes</v>
      </c>
      <c r="BF93" s="37">
        <f t="shared" si="92"/>
        <v>0.2376</v>
      </c>
      <c r="BG93" s="37">
        <f t="shared" si="93"/>
        <v>31.125600000000002</v>
      </c>
      <c r="BH93" s="36">
        <f t="shared" si="94"/>
        <v>40.84344</v>
      </c>
      <c r="BI93" s="38">
        <f t="shared" si="95"/>
        <v>71.96904</v>
      </c>
      <c r="BJ93" s="1" t="str">
        <f t="shared" si="96"/>
        <v>yes</v>
      </c>
      <c r="BK93" s="37">
        <f t="shared" si="57"/>
        <v>1.1879999999999988</v>
      </c>
      <c r="BL93" s="37">
        <f t="shared" si="58"/>
        <v>0</v>
      </c>
      <c r="BM93" s="7">
        <f t="shared" si="97"/>
        <v>1.1879999999999882</v>
      </c>
      <c r="BN93" s="7">
        <f t="shared" si="98"/>
        <v>0</v>
      </c>
    </row>
    <row r="94" spans="2:66" ht="18" customHeight="1">
      <c r="B94" s="4" t="s">
        <v>12</v>
      </c>
      <c r="C94" s="4" t="s">
        <v>95</v>
      </c>
      <c r="D94" s="157" t="s">
        <v>90</v>
      </c>
      <c r="E94" s="158" t="s">
        <v>199</v>
      </c>
      <c r="F94" s="79">
        <f t="shared" si="59"/>
        <v>52272</v>
      </c>
      <c r="G94" s="80">
        <f t="shared" si="60"/>
        <v>40</v>
      </c>
      <c r="H94" s="149">
        <f t="shared" si="61"/>
        <v>4</v>
      </c>
      <c r="I94" s="150">
        <f t="shared" si="62"/>
        <v>66.47634782608695</v>
      </c>
      <c r="J94" s="83">
        <f t="shared" si="63"/>
        <v>71.96904</v>
      </c>
      <c r="K94" s="84">
        <f t="shared" si="64"/>
        <v>73.15704</v>
      </c>
      <c r="L94" s="151">
        <f t="shared" si="65"/>
        <v>31.125600000000002</v>
      </c>
      <c r="M94" s="152">
        <f t="shared" si="66"/>
        <v>32.3136</v>
      </c>
      <c r="N94" s="188">
        <f t="shared" si="67"/>
        <v>0.03816793893129766</v>
      </c>
      <c r="O94" s="153">
        <f t="shared" si="68"/>
        <v>40.84344</v>
      </c>
      <c r="P94" s="154">
        <f t="shared" si="69"/>
        <v>40.84344</v>
      </c>
      <c r="Q94" s="176">
        <f t="shared" si="70"/>
        <v>0</v>
      </c>
      <c r="R94" s="100">
        <f t="shared" si="71"/>
        <v>1.1879999999999882</v>
      </c>
      <c r="S94" s="184">
        <f t="shared" si="72"/>
        <v>0.016507098052162265</v>
      </c>
      <c r="U94" s="208" t="s">
        <v>95</v>
      </c>
      <c r="V94" s="4" t="s">
        <v>12</v>
      </c>
      <c r="X94" s="155">
        <v>128</v>
      </c>
      <c r="Y94" s="155">
        <v>131</v>
      </c>
      <c r="Z94" s="155">
        <v>136</v>
      </c>
      <c r="AA94" s="155">
        <v>164.5</v>
      </c>
      <c r="AB94" s="155"/>
      <c r="AC94" s="155">
        <v>171.9</v>
      </c>
      <c r="AD94" s="155"/>
      <c r="AE94" s="155">
        <v>171.9</v>
      </c>
      <c r="AF94" s="155"/>
      <c r="AG94" s="32">
        <f t="shared" si="73"/>
        <v>292.5</v>
      </c>
      <c r="AH94" s="32">
        <f t="shared" si="74"/>
        <v>302.9</v>
      </c>
      <c r="AI94" s="32">
        <f t="shared" si="75"/>
        <v>307.9</v>
      </c>
      <c r="AJ94" s="33"/>
      <c r="AK94" s="33">
        <v>230000</v>
      </c>
      <c r="AL94" s="33"/>
      <c r="AM94" s="33">
        <v>220000</v>
      </c>
      <c r="AN94" s="33"/>
      <c r="AO94" s="33">
        <v>220000</v>
      </c>
      <c r="AP94" s="67">
        <f t="shared" si="76"/>
        <v>230000</v>
      </c>
      <c r="AQ94" s="34">
        <f t="shared" si="77"/>
        <v>95.65217391304348</v>
      </c>
      <c r="AR94" s="67">
        <f t="shared" si="78"/>
        <v>220000</v>
      </c>
      <c r="AS94" s="34">
        <f t="shared" si="79"/>
        <v>100</v>
      </c>
      <c r="AT94" s="28">
        <f t="shared" si="80"/>
        <v>131</v>
      </c>
      <c r="AU94" s="28">
        <f t="shared" si="81"/>
        <v>171.9</v>
      </c>
      <c r="AV94" s="28">
        <f t="shared" si="82"/>
        <v>302.9</v>
      </c>
      <c r="AW94" s="24">
        <f t="shared" si="83"/>
        <v>5</v>
      </c>
      <c r="AX94" s="24">
        <f t="shared" si="84"/>
        <v>0</v>
      </c>
      <c r="AY94" s="24">
        <f t="shared" si="85"/>
        <v>5</v>
      </c>
      <c r="AZ94" s="156">
        <f t="shared" si="86"/>
        <v>52272</v>
      </c>
      <c r="BA94" s="35">
        <f t="shared" si="87"/>
        <v>0.2376</v>
      </c>
      <c r="BB94" s="35">
        <f t="shared" si="88"/>
        <v>32.3136</v>
      </c>
      <c r="BC94" s="36">
        <f t="shared" si="89"/>
        <v>40.84344</v>
      </c>
      <c r="BD94" s="36">
        <f t="shared" si="90"/>
        <v>73.15704</v>
      </c>
      <c r="BE94" s="36" t="str">
        <f t="shared" si="91"/>
        <v>yes</v>
      </c>
      <c r="BF94" s="37">
        <f t="shared" si="92"/>
        <v>0.2376</v>
      </c>
      <c r="BG94" s="37">
        <f t="shared" si="93"/>
        <v>31.125600000000002</v>
      </c>
      <c r="BH94" s="36">
        <f t="shared" si="94"/>
        <v>40.84344</v>
      </c>
      <c r="BI94" s="38">
        <f t="shared" si="95"/>
        <v>71.96904</v>
      </c>
      <c r="BJ94" s="1" t="str">
        <f t="shared" si="96"/>
        <v>yes</v>
      </c>
      <c r="BK94" s="37">
        <f t="shared" si="57"/>
        <v>1.1879999999999988</v>
      </c>
      <c r="BL94" s="37">
        <f t="shared" si="58"/>
        <v>0</v>
      </c>
      <c r="BM94" s="7">
        <f t="shared" si="97"/>
        <v>1.1879999999999882</v>
      </c>
      <c r="BN94" s="7">
        <f t="shared" si="98"/>
        <v>0</v>
      </c>
    </row>
    <row r="95" spans="2:66" ht="18" customHeight="1">
      <c r="B95" s="4" t="s">
        <v>12</v>
      </c>
      <c r="C95" s="4" t="s">
        <v>95</v>
      </c>
      <c r="D95" s="157" t="s">
        <v>90</v>
      </c>
      <c r="E95" s="158" t="s">
        <v>85</v>
      </c>
      <c r="F95" s="79">
        <f t="shared" si="59"/>
        <v>52272</v>
      </c>
      <c r="G95" s="80">
        <f t="shared" si="60"/>
        <v>40</v>
      </c>
      <c r="H95" s="149">
        <f t="shared" si="61"/>
        <v>4</v>
      </c>
      <c r="I95" s="150">
        <f t="shared" si="62"/>
        <v>66.47634782608695</v>
      </c>
      <c r="J95" s="83">
        <f t="shared" si="63"/>
        <v>71.96904</v>
      </c>
      <c r="K95" s="84">
        <f t="shared" si="64"/>
        <v>68.16744</v>
      </c>
      <c r="L95" s="151">
        <f t="shared" si="65"/>
        <v>31.125600000000002</v>
      </c>
      <c r="M95" s="152">
        <f t="shared" si="66"/>
        <v>27.324</v>
      </c>
      <c r="N95" s="188">
        <f t="shared" si="67"/>
        <v>-0.12213740458015265</v>
      </c>
      <c r="O95" s="153">
        <f t="shared" si="68"/>
        <v>40.84344</v>
      </c>
      <c r="P95" s="154">
        <f t="shared" si="69"/>
        <v>40.84344</v>
      </c>
      <c r="Q95" s="176">
        <f t="shared" si="70"/>
        <v>0</v>
      </c>
      <c r="R95" s="100">
        <f t="shared" si="71"/>
        <v>-3.8016000000000076</v>
      </c>
      <c r="S95" s="184">
        <f t="shared" si="72"/>
        <v>-0.052822713766919875</v>
      </c>
      <c r="U95" s="208" t="s">
        <v>95</v>
      </c>
      <c r="V95" s="4" t="s">
        <v>12</v>
      </c>
      <c r="X95" s="155">
        <v>128</v>
      </c>
      <c r="Y95" s="155">
        <v>131</v>
      </c>
      <c r="Z95" s="155">
        <v>115</v>
      </c>
      <c r="AA95" s="155">
        <v>164.5</v>
      </c>
      <c r="AB95" s="155"/>
      <c r="AC95" s="155">
        <v>171.9</v>
      </c>
      <c r="AD95" s="155"/>
      <c r="AE95" s="155">
        <v>171.9</v>
      </c>
      <c r="AF95" s="155"/>
      <c r="AG95" s="32">
        <f t="shared" si="73"/>
        <v>292.5</v>
      </c>
      <c r="AH95" s="32">
        <f t="shared" si="74"/>
        <v>302.9</v>
      </c>
      <c r="AI95" s="32">
        <f t="shared" si="75"/>
        <v>286.9</v>
      </c>
      <c r="AJ95" s="33"/>
      <c r="AK95" s="33">
        <v>230000</v>
      </c>
      <c r="AL95" s="33"/>
      <c r="AM95" s="33">
        <v>220000</v>
      </c>
      <c r="AN95" s="33"/>
      <c r="AO95" s="33">
        <v>220000</v>
      </c>
      <c r="AP95" s="67">
        <f t="shared" si="76"/>
        <v>230000</v>
      </c>
      <c r="AQ95" s="34">
        <f t="shared" si="77"/>
        <v>95.65217391304348</v>
      </c>
      <c r="AR95" s="67">
        <f t="shared" si="78"/>
        <v>220000</v>
      </c>
      <c r="AS95" s="34">
        <f t="shared" si="79"/>
        <v>100</v>
      </c>
      <c r="AT95" s="28">
        <f t="shared" si="80"/>
        <v>131</v>
      </c>
      <c r="AU95" s="28">
        <f t="shared" si="81"/>
        <v>171.9</v>
      </c>
      <c r="AV95" s="28">
        <f t="shared" si="82"/>
        <v>302.9</v>
      </c>
      <c r="AW95" s="24">
        <f t="shared" si="83"/>
        <v>-16</v>
      </c>
      <c r="AX95" s="24">
        <f t="shared" si="84"/>
        <v>0</v>
      </c>
      <c r="AY95" s="24">
        <f t="shared" si="85"/>
        <v>-16</v>
      </c>
      <c r="AZ95" s="156">
        <f t="shared" si="86"/>
        <v>52272</v>
      </c>
      <c r="BA95" s="35">
        <f t="shared" si="87"/>
        <v>0.2376</v>
      </c>
      <c r="BB95" s="35">
        <f t="shared" si="88"/>
        <v>27.324</v>
      </c>
      <c r="BC95" s="36">
        <f t="shared" si="89"/>
        <v>40.84344</v>
      </c>
      <c r="BD95" s="36">
        <f t="shared" si="90"/>
        <v>68.16744</v>
      </c>
      <c r="BE95" s="36" t="str">
        <f t="shared" si="91"/>
        <v>yes</v>
      </c>
      <c r="BF95" s="37">
        <f t="shared" si="92"/>
        <v>0.2376</v>
      </c>
      <c r="BG95" s="37">
        <f t="shared" si="93"/>
        <v>31.125600000000002</v>
      </c>
      <c r="BH95" s="36">
        <f t="shared" si="94"/>
        <v>40.84344</v>
      </c>
      <c r="BI95" s="38">
        <f t="shared" si="95"/>
        <v>71.96904</v>
      </c>
      <c r="BJ95" s="1" t="str">
        <f t="shared" si="96"/>
        <v>yes</v>
      </c>
      <c r="BK95" s="37">
        <f t="shared" si="57"/>
        <v>-3.8016000000000005</v>
      </c>
      <c r="BL95" s="37">
        <f t="shared" si="58"/>
        <v>0</v>
      </c>
      <c r="BM95" s="7">
        <f t="shared" si="97"/>
        <v>-3.8016000000000076</v>
      </c>
      <c r="BN95" s="7">
        <f t="shared" si="98"/>
        <v>0</v>
      </c>
    </row>
    <row r="96" spans="3:66" ht="18" customHeight="1">
      <c r="C96" s="29"/>
      <c r="D96" s="157" t="s">
        <v>90</v>
      </c>
      <c r="E96" s="158" t="s">
        <v>107</v>
      </c>
      <c r="F96" s="79">
        <f t="shared" si="59"/>
        <v>52272</v>
      </c>
      <c r="G96" s="80">
        <f t="shared" si="60"/>
        <v>40</v>
      </c>
      <c r="H96" s="149">
        <f t="shared" si="61"/>
        <v>4</v>
      </c>
      <c r="I96" s="150">
        <f t="shared" si="62"/>
      </c>
      <c r="J96" s="83">
        <f t="shared" si="63"/>
        <v>73.15704</v>
      </c>
      <c r="K96" s="84">
        <f t="shared" si="64"/>
        <v>74.34504000000001</v>
      </c>
      <c r="L96" s="151">
        <f t="shared" si="65"/>
        <v>32.3136</v>
      </c>
      <c r="M96" s="152">
        <f t="shared" si="66"/>
        <v>33.5016</v>
      </c>
      <c r="N96" s="188">
        <f t="shared" si="67"/>
        <v>0.03676470588235303</v>
      </c>
      <c r="O96" s="153">
        <f t="shared" si="68"/>
        <v>40.84344</v>
      </c>
      <c r="P96" s="154">
        <f t="shared" si="69"/>
        <v>40.84344</v>
      </c>
      <c r="Q96" s="176">
        <f t="shared" si="70"/>
        <v>0</v>
      </c>
      <c r="R96" s="100">
        <f t="shared" si="71"/>
        <v>1.1880000000000166</v>
      </c>
      <c r="S96" s="184">
        <f t="shared" si="72"/>
        <v>0.016239038648912213</v>
      </c>
      <c r="U96" s="207" t="s">
        <v>108</v>
      </c>
      <c r="V96" s="4" t="s">
        <v>12</v>
      </c>
      <c r="X96" s="39"/>
      <c r="Y96" s="39">
        <v>136</v>
      </c>
      <c r="Z96" s="39">
        <v>141</v>
      </c>
      <c r="AA96" s="39"/>
      <c r="AB96" s="39"/>
      <c r="AC96" s="155">
        <v>171.9</v>
      </c>
      <c r="AD96" s="39"/>
      <c r="AE96" s="155">
        <v>171.9</v>
      </c>
      <c r="AF96" s="39"/>
      <c r="AG96" s="32">
        <f t="shared" si="73"/>
        <v>0</v>
      </c>
      <c r="AH96" s="32">
        <f t="shared" si="74"/>
        <v>307.9</v>
      </c>
      <c r="AI96" s="32">
        <f t="shared" si="75"/>
        <v>312.9</v>
      </c>
      <c r="AJ96" s="27"/>
      <c r="AK96" s="33"/>
      <c r="AL96" s="27"/>
      <c r="AM96" s="33">
        <v>220000</v>
      </c>
      <c r="AN96" s="27"/>
      <c r="AO96" s="33">
        <v>220000</v>
      </c>
      <c r="AP96" s="67">
        <f t="shared" si="76"/>
        <v>0</v>
      </c>
      <c r="AQ96" s="34" t="str">
        <f t="shared" si="77"/>
        <v>Not Avail.</v>
      </c>
      <c r="AR96" s="67">
        <f t="shared" si="78"/>
        <v>220000</v>
      </c>
      <c r="AS96" s="34">
        <f t="shared" si="79"/>
        <v>100</v>
      </c>
      <c r="AT96" s="28">
        <f t="shared" si="80"/>
        <v>136</v>
      </c>
      <c r="AU96" s="28">
        <f t="shared" si="81"/>
        <v>171.9</v>
      </c>
      <c r="AV96" s="28">
        <f t="shared" si="82"/>
        <v>307.9</v>
      </c>
      <c r="AW96" s="24">
        <f t="shared" si="83"/>
        <v>5</v>
      </c>
      <c r="AX96" s="24">
        <f t="shared" si="84"/>
        <v>0</v>
      </c>
      <c r="AY96" s="24">
        <f t="shared" si="85"/>
        <v>5</v>
      </c>
      <c r="AZ96" s="156">
        <f t="shared" si="86"/>
        <v>52272</v>
      </c>
      <c r="BA96" s="35">
        <f t="shared" si="87"/>
        <v>0.2376</v>
      </c>
      <c r="BB96" s="35">
        <f t="shared" si="88"/>
        <v>33.5016</v>
      </c>
      <c r="BC96" s="36">
        <f t="shared" si="89"/>
        <v>40.84344</v>
      </c>
      <c r="BD96" s="36">
        <f t="shared" si="90"/>
        <v>74.34504000000001</v>
      </c>
      <c r="BE96" s="36" t="str">
        <f t="shared" si="91"/>
        <v>yes</v>
      </c>
      <c r="BF96" s="37">
        <f t="shared" si="92"/>
        <v>0.2376</v>
      </c>
      <c r="BG96" s="37">
        <f t="shared" si="93"/>
        <v>32.3136</v>
      </c>
      <c r="BH96" s="36">
        <f t="shared" si="94"/>
        <v>40.84344</v>
      </c>
      <c r="BI96" s="38">
        <f t="shared" si="95"/>
        <v>73.15704</v>
      </c>
      <c r="BJ96" s="1" t="str">
        <f t="shared" si="96"/>
        <v>yes</v>
      </c>
      <c r="BK96" s="37">
        <f t="shared" si="57"/>
        <v>1.1880000000000024</v>
      </c>
      <c r="BL96" s="37">
        <f t="shared" si="58"/>
        <v>0</v>
      </c>
      <c r="BM96" s="7">
        <f t="shared" si="97"/>
        <v>1.1880000000000166</v>
      </c>
      <c r="BN96" s="7">
        <f t="shared" si="98"/>
        <v>0</v>
      </c>
    </row>
    <row r="97" spans="2:66" ht="18" customHeight="1">
      <c r="B97" s="4" t="s">
        <v>12</v>
      </c>
      <c r="C97" s="4" t="s">
        <v>95</v>
      </c>
      <c r="D97" s="157" t="s">
        <v>90</v>
      </c>
      <c r="E97" s="158" t="s">
        <v>11</v>
      </c>
      <c r="F97" s="79">
        <f t="shared" si="59"/>
        <v>52272</v>
      </c>
      <c r="G97" s="80">
        <f t="shared" si="60"/>
        <v>40</v>
      </c>
      <c r="H97" s="149">
        <f t="shared" si="61"/>
        <v>4</v>
      </c>
      <c r="I97" s="150">
        <f t="shared" si="62"/>
        <v>66.47634782608695</v>
      </c>
      <c r="J97" s="83">
        <f t="shared" si="63"/>
        <v>71.96904</v>
      </c>
      <c r="K97" s="84">
        <f t="shared" si="64"/>
        <v>68.16744</v>
      </c>
      <c r="L97" s="151">
        <f t="shared" si="65"/>
        <v>31.125600000000002</v>
      </c>
      <c r="M97" s="152">
        <f t="shared" si="66"/>
        <v>27.324</v>
      </c>
      <c r="N97" s="188">
        <f t="shared" si="67"/>
        <v>-0.12213740458015265</v>
      </c>
      <c r="O97" s="153">
        <f t="shared" si="68"/>
        <v>40.84344</v>
      </c>
      <c r="P97" s="154">
        <f t="shared" si="69"/>
        <v>40.84344</v>
      </c>
      <c r="Q97" s="176">
        <f t="shared" si="70"/>
        <v>0</v>
      </c>
      <c r="R97" s="100">
        <f t="shared" si="71"/>
        <v>-3.8016000000000076</v>
      </c>
      <c r="S97" s="184">
        <f t="shared" si="72"/>
        <v>-0.052822713766919875</v>
      </c>
      <c r="U97" s="208" t="s">
        <v>95</v>
      </c>
      <c r="V97" s="4" t="s">
        <v>12</v>
      </c>
      <c r="X97" s="155">
        <v>128</v>
      </c>
      <c r="Y97" s="155">
        <v>131</v>
      </c>
      <c r="Z97" s="155">
        <v>115</v>
      </c>
      <c r="AA97" s="155">
        <v>164.5</v>
      </c>
      <c r="AB97" s="155"/>
      <c r="AC97" s="155">
        <v>171.9</v>
      </c>
      <c r="AD97" s="155"/>
      <c r="AE97" s="155">
        <v>171.9</v>
      </c>
      <c r="AF97" s="155"/>
      <c r="AG97" s="32">
        <f t="shared" si="73"/>
        <v>292.5</v>
      </c>
      <c r="AH97" s="32">
        <f t="shared" si="74"/>
        <v>302.9</v>
      </c>
      <c r="AI97" s="32">
        <f t="shared" si="75"/>
        <v>286.9</v>
      </c>
      <c r="AJ97" s="33"/>
      <c r="AK97" s="33">
        <v>230000</v>
      </c>
      <c r="AL97" s="33"/>
      <c r="AM97" s="33">
        <v>220000</v>
      </c>
      <c r="AN97" s="33"/>
      <c r="AO97" s="33">
        <v>220000</v>
      </c>
      <c r="AP97" s="67">
        <f t="shared" si="76"/>
        <v>230000</v>
      </c>
      <c r="AQ97" s="34">
        <f t="shared" si="77"/>
        <v>95.65217391304348</v>
      </c>
      <c r="AR97" s="67">
        <f t="shared" si="78"/>
        <v>220000</v>
      </c>
      <c r="AS97" s="34">
        <f t="shared" si="79"/>
        <v>100</v>
      </c>
      <c r="AT97" s="28">
        <f t="shared" si="80"/>
        <v>131</v>
      </c>
      <c r="AU97" s="28">
        <f t="shared" si="81"/>
        <v>171.9</v>
      </c>
      <c r="AV97" s="28">
        <f t="shared" si="82"/>
        <v>302.9</v>
      </c>
      <c r="AW97" s="24">
        <f t="shared" si="83"/>
        <v>-16</v>
      </c>
      <c r="AX97" s="24">
        <f t="shared" si="84"/>
        <v>0</v>
      </c>
      <c r="AY97" s="24">
        <f t="shared" si="85"/>
        <v>-16</v>
      </c>
      <c r="AZ97" s="156">
        <f t="shared" si="86"/>
        <v>52272</v>
      </c>
      <c r="BA97" s="35">
        <f t="shared" si="87"/>
        <v>0.2376</v>
      </c>
      <c r="BB97" s="35">
        <f t="shared" si="88"/>
        <v>27.324</v>
      </c>
      <c r="BC97" s="36">
        <f t="shared" si="89"/>
        <v>40.84344</v>
      </c>
      <c r="BD97" s="36">
        <f t="shared" si="90"/>
        <v>68.16744</v>
      </c>
      <c r="BE97" s="36" t="str">
        <f t="shared" si="91"/>
        <v>yes</v>
      </c>
      <c r="BF97" s="37">
        <f t="shared" si="92"/>
        <v>0.2376</v>
      </c>
      <c r="BG97" s="37">
        <f t="shared" si="93"/>
        <v>31.125600000000002</v>
      </c>
      <c r="BH97" s="36">
        <f t="shared" si="94"/>
        <v>40.84344</v>
      </c>
      <c r="BI97" s="38">
        <f t="shared" si="95"/>
        <v>71.96904</v>
      </c>
      <c r="BJ97" s="1" t="str">
        <f t="shared" si="96"/>
        <v>yes</v>
      </c>
      <c r="BK97" s="37">
        <f t="shared" si="57"/>
        <v>-3.8016000000000005</v>
      </c>
      <c r="BL97" s="37">
        <f t="shared" si="58"/>
        <v>0</v>
      </c>
      <c r="BM97" s="7">
        <f t="shared" si="97"/>
        <v>-3.8016000000000076</v>
      </c>
      <c r="BN97" s="7">
        <f t="shared" si="98"/>
        <v>0</v>
      </c>
    </row>
    <row r="98" spans="2:66" ht="18" customHeight="1">
      <c r="B98" s="4" t="s">
        <v>12</v>
      </c>
      <c r="C98" s="4" t="s">
        <v>95</v>
      </c>
      <c r="D98" s="157" t="s">
        <v>90</v>
      </c>
      <c r="E98" s="158" t="s">
        <v>200</v>
      </c>
      <c r="F98" s="79">
        <f t="shared" si="59"/>
        <v>52272</v>
      </c>
      <c r="G98" s="80">
        <f t="shared" si="60"/>
        <v>40</v>
      </c>
      <c r="H98" s="149">
        <f t="shared" si="61"/>
        <v>4</v>
      </c>
      <c r="I98" s="150">
        <f t="shared" si="62"/>
        <v>66.47634782608695</v>
      </c>
      <c r="J98" s="83">
        <f t="shared" si="63"/>
        <v>73.15704</v>
      </c>
      <c r="K98" s="84">
        <f t="shared" si="64"/>
        <v>74.34504000000001</v>
      </c>
      <c r="L98" s="151">
        <f t="shared" si="65"/>
        <v>32.3136</v>
      </c>
      <c r="M98" s="152">
        <f t="shared" si="66"/>
        <v>33.5016</v>
      </c>
      <c r="N98" s="188">
        <f t="shared" si="67"/>
        <v>0.03676470588235303</v>
      </c>
      <c r="O98" s="153">
        <f t="shared" si="68"/>
        <v>40.84344</v>
      </c>
      <c r="P98" s="154">
        <f t="shared" si="69"/>
        <v>40.84344</v>
      </c>
      <c r="Q98" s="176">
        <f t="shared" si="70"/>
        <v>0</v>
      </c>
      <c r="R98" s="100">
        <f t="shared" si="71"/>
        <v>1.1880000000000166</v>
      </c>
      <c r="S98" s="184">
        <f t="shared" si="72"/>
        <v>0.016239038648912213</v>
      </c>
      <c r="U98" s="208" t="s">
        <v>95</v>
      </c>
      <c r="V98" s="4" t="s">
        <v>12</v>
      </c>
      <c r="X98" s="155">
        <v>128</v>
      </c>
      <c r="Y98" s="155">
        <v>136</v>
      </c>
      <c r="Z98" s="155">
        <v>141</v>
      </c>
      <c r="AA98" s="155">
        <v>164.5</v>
      </c>
      <c r="AB98" s="155"/>
      <c r="AC98" s="155">
        <v>171.9</v>
      </c>
      <c r="AD98" s="155"/>
      <c r="AE98" s="155">
        <v>171.9</v>
      </c>
      <c r="AF98" s="155"/>
      <c r="AG98" s="32">
        <f t="shared" si="73"/>
        <v>292.5</v>
      </c>
      <c r="AH98" s="32">
        <f t="shared" si="74"/>
        <v>307.9</v>
      </c>
      <c r="AI98" s="32">
        <f t="shared" si="75"/>
        <v>312.9</v>
      </c>
      <c r="AJ98" s="33"/>
      <c r="AK98" s="33">
        <v>230000</v>
      </c>
      <c r="AL98" s="33"/>
      <c r="AM98" s="33">
        <v>220000</v>
      </c>
      <c r="AN98" s="33"/>
      <c r="AO98" s="33">
        <v>220000</v>
      </c>
      <c r="AP98" s="67">
        <f t="shared" si="76"/>
        <v>230000</v>
      </c>
      <c r="AQ98" s="34">
        <f t="shared" si="77"/>
        <v>95.65217391304348</v>
      </c>
      <c r="AR98" s="67">
        <f t="shared" si="78"/>
        <v>220000</v>
      </c>
      <c r="AS98" s="34">
        <f t="shared" si="79"/>
        <v>100</v>
      </c>
      <c r="AT98" s="28">
        <f t="shared" si="80"/>
        <v>136</v>
      </c>
      <c r="AU98" s="28">
        <f t="shared" si="81"/>
        <v>171.9</v>
      </c>
      <c r="AV98" s="28">
        <f t="shared" si="82"/>
        <v>307.9</v>
      </c>
      <c r="AW98" s="24">
        <f t="shared" si="83"/>
        <v>5</v>
      </c>
      <c r="AX98" s="24">
        <f t="shared" si="84"/>
        <v>0</v>
      </c>
      <c r="AY98" s="24">
        <f t="shared" si="85"/>
        <v>5</v>
      </c>
      <c r="AZ98" s="156">
        <f t="shared" si="86"/>
        <v>52272</v>
      </c>
      <c r="BA98" s="35">
        <f t="shared" si="87"/>
        <v>0.2376</v>
      </c>
      <c r="BB98" s="35">
        <f t="shared" si="88"/>
        <v>33.5016</v>
      </c>
      <c r="BC98" s="36">
        <f t="shared" si="89"/>
        <v>40.84344</v>
      </c>
      <c r="BD98" s="36">
        <f t="shared" si="90"/>
        <v>74.34504000000001</v>
      </c>
      <c r="BE98" s="36" t="str">
        <f t="shared" si="91"/>
        <v>yes</v>
      </c>
      <c r="BF98" s="37">
        <f t="shared" si="92"/>
        <v>0.2376</v>
      </c>
      <c r="BG98" s="37">
        <f t="shared" si="93"/>
        <v>32.3136</v>
      </c>
      <c r="BH98" s="36">
        <f t="shared" si="94"/>
        <v>40.84344</v>
      </c>
      <c r="BI98" s="38">
        <f t="shared" si="95"/>
        <v>73.15704</v>
      </c>
      <c r="BJ98" s="1" t="str">
        <f t="shared" si="96"/>
        <v>yes</v>
      </c>
      <c r="BK98" s="37">
        <f t="shared" si="57"/>
        <v>1.1880000000000024</v>
      </c>
      <c r="BL98" s="37">
        <f t="shared" si="58"/>
        <v>0</v>
      </c>
      <c r="BM98" s="7">
        <f t="shared" si="97"/>
        <v>1.1880000000000166</v>
      </c>
      <c r="BN98" s="7">
        <f t="shared" si="98"/>
        <v>0</v>
      </c>
    </row>
    <row r="99" spans="3:65" s="4" customFormat="1" ht="13.5" customHeight="1">
      <c r="C99" s="41"/>
      <c r="D99" s="41"/>
      <c r="E99" s="41"/>
      <c r="F99" s="75"/>
      <c r="G99" s="41"/>
      <c r="H99" s="41"/>
      <c r="I99" s="42"/>
      <c r="J99" s="13"/>
      <c r="K99" s="13"/>
      <c r="L99" s="44"/>
      <c r="M99" s="44"/>
      <c r="N99" s="179"/>
      <c r="O99" s="45"/>
      <c r="P99" s="46"/>
      <c r="Q99" s="179"/>
      <c r="R99" s="43"/>
      <c r="S99" s="179"/>
      <c r="T99" s="3"/>
      <c r="U99" s="41"/>
      <c r="W99" s="3"/>
      <c r="X99" s="40"/>
      <c r="Y99" s="40"/>
      <c r="Z99" s="40"/>
      <c r="AA99" s="40"/>
      <c r="AB99" s="40"/>
      <c r="AC99" s="40"/>
      <c r="AD99" s="40"/>
      <c r="AE99" s="40"/>
      <c r="AF99" s="40"/>
      <c r="AG99" s="47"/>
      <c r="AH99" s="47"/>
      <c r="AI99" s="47"/>
      <c r="AJ99" s="12"/>
      <c r="AK99" s="12"/>
      <c r="AL99" s="12"/>
      <c r="AM99" s="12"/>
      <c r="AN99" s="12"/>
      <c r="AO99" s="12"/>
      <c r="AP99" s="65"/>
      <c r="AQ99" s="12"/>
      <c r="AR99" s="65"/>
      <c r="AS99" s="12"/>
      <c r="AT99" s="13"/>
      <c r="AU99" s="13"/>
      <c r="AV99" s="13"/>
      <c r="AW99" s="13"/>
      <c r="AX99" s="13"/>
      <c r="AY99" s="3"/>
      <c r="AZ99" s="3"/>
      <c r="BA99" s="12"/>
      <c r="BB99" s="12"/>
      <c r="BC99" s="12"/>
      <c r="BD99" s="12"/>
      <c r="BE99" s="12"/>
      <c r="BH99" s="12"/>
      <c r="BM99" s="14"/>
    </row>
    <row r="100" spans="4:65" s="4" customFormat="1" ht="13.5" customHeight="1">
      <c r="D100" s="4" t="s">
        <v>9</v>
      </c>
      <c r="F100" s="76"/>
      <c r="G100" s="48"/>
      <c r="H100" s="49"/>
      <c r="I100" s="42"/>
      <c r="J100" s="13"/>
      <c r="K100" s="13"/>
      <c r="L100" s="44"/>
      <c r="M100" s="44"/>
      <c r="N100" s="179"/>
      <c r="O100" s="45"/>
      <c r="P100" s="46"/>
      <c r="Q100" s="178"/>
      <c r="R100" s="43"/>
      <c r="S100" s="179"/>
      <c r="T100" s="3"/>
      <c r="W100" s="3"/>
      <c r="X100" s="12"/>
      <c r="Y100" s="12"/>
      <c r="Z100" s="12"/>
      <c r="AA100" s="12"/>
      <c r="AB100" s="12"/>
      <c r="AC100" s="12"/>
      <c r="AD100" s="12"/>
      <c r="AE100" s="12"/>
      <c r="AF100" s="12"/>
      <c r="AG100" s="13"/>
      <c r="AH100" s="13"/>
      <c r="AI100" s="13"/>
      <c r="AJ100" s="12"/>
      <c r="AK100" s="12"/>
      <c r="AL100" s="12"/>
      <c r="AM100" s="12"/>
      <c r="AN100" s="12"/>
      <c r="AO100" s="12"/>
      <c r="AP100" s="65"/>
      <c r="AQ100" s="12"/>
      <c r="AR100" s="65"/>
      <c r="AS100" s="12"/>
      <c r="AT100" s="13"/>
      <c r="AU100" s="13"/>
      <c r="AV100" s="13"/>
      <c r="AW100" s="13"/>
      <c r="AX100" s="13"/>
      <c r="AY100" s="3"/>
      <c r="AZ100" s="3"/>
      <c r="BA100" s="12"/>
      <c r="BB100" s="12"/>
      <c r="BC100" s="12"/>
      <c r="BD100" s="12"/>
      <c r="BE100" s="12"/>
      <c r="BH100" s="12"/>
      <c r="BM100" s="14"/>
    </row>
    <row r="101" spans="4:65" s="4" customFormat="1" ht="13.5" customHeight="1">
      <c r="D101" s="4" t="s">
        <v>168</v>
      </c>
      <c r="F101" s="76"/>
      <c r="G101" s="48"/>
      <c r="H101" s="49"/>
      <c r="I101" s="42"/>
      <c r="J101" s="13"/>
      <c r="K101" s="13"/>
      <c r="L101" s="44"/>
      <c r="M101" s="44"/>
      <c r="N101" s="179"/>
      <c r="O101" s="45"/>
      <c r="P101" s="46"/>
      <c r="Q101" s="179"/>
      <c r="R101" s="43"/>
      <c r="S101" s="179"/>
      <c r="T101" s="3"/>
      <c r="W101" s="3"/>
      <c r="X101" s="12"/>
      <c r="Y101" s="12"/>
      <c r="Z101" s="12"/>
      <c r="AA101" s="12"/>
      <c r="AB101" s="12"/>
      <c r="AC101" s="12"/>
      <c r="AD101" s="12"/>
      <c r="AE101" s="12"/>
      <c r="AF101" s="12"/>
      <c r="AG101" s="13"/>
      <c r="AH101" s="13"/>
      <c r="AI101" s="13"/>
      <c r="AJ101" s="12"/>
      <c r="AK101" s="12"/>
      <c r="AL101" s="12"/>
      <c r="AM101" s="12"/>
      <c r="AN101" s="12"/>
      <c r="AO101" s="12"/>
      <c r="AP101" s="65"/>
      <c r="AQ101" s="12"/>
      <c r="AR101" s="65"/>
      <c r="AS101" s="12"/>
      <c r="AT101" s="13"/>
      <c r="AU101" s="13"/>
      <c r="AV101" s="13"/>
      <c r="AW101" s="13"/>
      <c r="AX101" s="13"/>
      <c r="AY101" s="3"/>
      <c r="AZ101" s="3"/>
      <c r="BA101" s="12"/>
      <c r="BB101" s="12"/>
      <c r="BC101" s="12"/>
      <c r="BD101" s="12"/>
      <c r="BE101" s="12"/>
      <c r="BH101" s="12"/>
      <c r="BM101" s="14"/>
    </row>
    <row r="102" spans="4:65" s="4" customFormat="1" ht="13.5" customHeight="1">
      <c r="D102" s="4" t="s">
        <v>91</v>
      </c>
      <c r="F102" s="76"/>
      <c r="G102" s="48"/>
      <c r="H102" s="49"/>
      <c r="I102" s="42"/>
      <c r="J102" s="13"/>
      <c r="K102" s="13"/>
      <c r="L102" s="44"/>
      <c r="M102" s="44"/>
      <c r="N102" s="179"/>
      <c r="O102" s="45"/>
      <c r="P102" s="46"/>
      <c r="Q102" s="179"/>
      <c r="R102" s="43"/>
      <c r="S102" s="179"/>
      <c r="T102" s="3"/>
      <c r="W102" s="3"/>
      <c r="X102" s="12"/>
      <c r="Y102" s="12"/>
      <c r="Z102" s="12"/>
      <c r="AA102" s="12"/>
      <c r="AB102" s="12"/>
      <c r="AC102" s="12"/>
      <c r="AD102" s="12"/>
      <c r="AE102" s="12"/>
      <c r="AF102" s="12"/>
      <c r="AG102" s="13"/>
      <c r="AH102" s="13"/>
      <c r="AI102" s="13"/>
      <c r="AJ102" s="12"/>
      <c r="AK102" s="12"/>
      <c r="AL102" s="12"/>
      <c r="AM102" s="12"/>
      <c r="AN102" s="12"/>
      <c r="AO102" s="12"/>
      <c r="AP102" s="65"/>
      <c r="AQ102" s="12"/>
      <c r="AR102" s="65"/>
      <c r="AS102" s="12"/>
      <c r="AT102" s="13"/>
      <c r="AU102" s="13"/>
      <c r="AV102" s="13"/>
      <c r="AW102" s="13"/>
      <c r="AX102" s="13"/>
      <c r="AY102" s="3"/>
      <c r="AZ102" s="3"/>
      <c r="BA102" s="12"/>
      <c r="BB102" s="12"/>
      <c r="BC102" s="12"/>
      <c r="BD102" s="12"/>
      <c r="BE102" s="12"/>
      <c r="BH102" s="12"/>
      <c r="BM102" s="14"/>
    </row>
    <row r="103" spans="4:65" s="4" customFormat="1" ht="13.5" customHeight="1">
      <c r="D103" s="4" t="s">
        <v>113</v>
      </c>
      <c r="F103" s="76"/>
      <c r="G103" s="48"/>
      <c r="H103" s="49"/>
      <c r="I103" s="42"/>
      <c r="J103" s="13"/>
      <c r="K103" s="13"/>
      <c r="L103" s="44"/>
      <c r="M103" s="44"/>
      <c r="N103" s="179"/>
      <c r="O103" s="45"/>
      <c r="P103" s="46"/>
      <c r="Q103" s="179"/>
      <c r="R103" s="43"/>
      <c r="S103" s="179"/>
      <c r="T103" s="3"/>
      <c r="W103" s="3"/>
      <c r="X103" s="12"/>
      <c r="Y103" s="12"/>
      <c r="Z103" s="12"/>
      <c r="AA103" s="12"/>
      <c r="AB103" s="12"/>
      <c r="AC103" s="12"/>
      <c r="AD103" s="12"/>
      <c r="AE103" s="12"/>
      <c r="AF103" s="12"/>
      <c r="AG103" s="13"/>
      <c r="AH103" s="13"/>
      <c r="AI103" s="13"/>
      <c r="AJ103" s="12"/>
      <c r="AK103" s="12"/>
      <c r="AL103" s="12"/>
      <c r="AM103" s="12"/>
      <c r="AN103" s="12"/>
      <c r="AO103" s="12"/>
      <c r="AP103" s="65"/>
      <c r="AQ103" s="12"/>
      <c r="AR103" s="65"/>
      <c r="AS103" s="12"/>
      <c r="AT103" s="13"/>
      <c r="AU103" s="13"/>
      <c r="AV103" s="13"/>
      <c r="AW103" s="13"/>
      <c r="AX103" s="13"/>
      <c r="AY103" s="3"/>
      <c r="AZ103" s="3"/>
      <c r="BA103" s="12"/>
      <c r="BB103" s="12"/>
      <c r="BC103" s="12"/>
      <c r="BD103" s="12"/>
      <c r="BE103" s="12"/>
      <c r="BH103" s="12"/>
      <c r="BM103" s="14"/>
    </row>
    <row r="104" spans="4:65" s="4" customFormat="1" ht="13.5" customHeight="1">
      <c r="D104" s="222" t="s">
        <v>202</v>
      </c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3"/>
      <c r="W104" s="3"/>
      <c r="X104" s="12"/>
      <c r="Y104" s="12"/>
      <c r="Z104" s="12"/>
      <c r="AA104" s="12"/>
      <c r="AB104" s="12"/>
      <c r="AC104" s="12"/>
      <c r="AD104" s="12"/>
      <c r="AE104" s="12"/>
      <c r="AF104" s="12"/>
      <c r="AG104" s="13"/>
      <c r="AH104" s="13"/>
      <c r="AI104" s="13"/>
      <c r="AJ104" s="12"/>
      <c r="AK104" s="12"/>
      <c r="AL104" s="12"/>
      <c r="AM104" s="12"/>
      <c r="AN104" s="12"/>
      <c r="AO104" s="12"/>
      <c r="AP104" s="65"/>
      <c r="AQ104" s="12"/>
      <c r="AR104" s="65"/>
      <c r="AS104" s="12"/>
      <c r="AT104" s="13"/>
      <c r="AU104" s="13"/>
      <c r="AV104" s="13"/>
      <c r="AW104" s="13"/>
      <c r="AX104" s="13"/>
      <c r="AY104" s="3"/>
      <c r="AZ104" s="3"/>
      <c r="BA104" s="12"/>
      <c r="BB104" s="12"/>
      <c r="BC104" s="12"/>
      <c r="BD104" s="12"/>
      <c r="BE104" s="12"/>
      <c r="BH104" s="12"/>
      <c r="BM104" s="14"/>
    </row>
    <row r="105" spans="4:65" s="4" customFormat="1" ht="13.5" customHeight="1"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3"/>
      <c r="W105" s="3"/>
      <c r="X105" s="12"/>
      <c r="Y105" s="12"/>
      <c r="Z105" s="12"/>
      <c r="AA105" s="12"/>
      <c r="AB105" s="12"/>
      <c r="AC105" s="12"/>
      <c r="AD105" s="12"/>
      <c r="AE105" s="12"/>
      <c r="AF105" s="12"/>
      <c r="AG105" s="13"/>
      <c r="AH105" s="13"/>
      <c r="AI105" s="13"/>
      <c r="AJ105" s="12"/>
      <c r="AK105" s="12"/>
      <c r="AL105" s="12"/>
      <c r="AM105" s="12"/>
      <c r="AN105" s="12"/>
      <c r="AO105" s="12"/>
      <c r="AP105" s="65"/>
      <c r="AQ105" s="12"/>
      <c r="AR105" s="65"/>
      <c r="AS105" s="12"/>
      <c r="AT105" s="13"/>
      <c r="AU105" s="13"/>
      <c r="AV105" s="13"/>
      <c r="AW105" s="13"/>
      <c r="AX105" s="13"/>
      <c r="AY105" s="3"/>
      <c r="AZ105" s="3"/>
      <c r="BA105" s="12"/>
      <c r="BB105" s="12"/>
      <c r="BC105" s="12"/>
      <c r="BD105" s="12"/>
      <c r="BE105" s="12"/>
      <c r="BH105" s="12"/>
      <c r="BM105" s="14"/>
    </row>
    <row r="106" spans="6:19" ht="13.5" customHeight="1">
      <c r="F106" s="77"/>
      <c r="H106" s="197"/>
      <c r="N106" s="180"/>
      <c r="Q106" s="180"/>
      <c r="S106" s="180"/>
    </row>
    <row r="107" spans="6:19" ht="13.5" customHeight="1">
      <c r="F107" s="77"/>
      <c r="H107" s="197"/>
      <c r="N107" s="180"/>
      <c r="Q107" s="180"/>
      <c r="S107" s="180"/>
    </row>
    <row r="108" spans="6:19" ht="13.5" customHeight="1">
      <c r="F108" s="77"/>
      <c r="H108" s="197"/>
      <c r="N108" s="180"/>
      <c r="Q108" s="180"/>
      <c r="S108" s="180"/>
    </row>
    <row r="109" spans="6:19" ht="13.5" customHeight="1">
      <c r="F109" s="77"/>
      <c r="H109" s="197"/>
      <c r="N109" s="180"/>
      <c r="Q109" s="180"/>
      <c r="S109" s="180"/>
    </row>
    <row r="110" spans="6:19" ht="13.5" customHeight="1">
      <c r="F110" s="77"/>
      <c r="H110" s="197"/>
      <c r="N110" s="180"/>
      <c r="Q110" s="180"/>
      <c r="S110" s="180"/>
    </row>
    <row r="111" spans="6:19" ht="13.5" customHeight="1">
      <c r="F111" s="77"/>
      <c r="H111" s="197"/>
      <c r="N111" s="180"/>
      <c r="Q111" s="180"/>
      <c r="S111" s="180"/>
    </row>
    <row r="112" spans="6:19" ht="13.5" customHeight="1">
      <c r="F112" s="77"/>
      <c r="H112" s="197"/>
      <c r="N112" s="180"/>
      <c r="Q112" s="180"/>
      <c r="S112" s="180"/>
    </row>
    <row r="113" spans="6:19" ht="13.5" customHeight="1">
      <c r="F113" s="77"/>
      <c r="H113" s="197"/>
      <c r="N113" s="180"/>
      <c r="Q113" s="180"/>
      <c r="S113" s="180"/>
    </row>
    <row r="114" spans="6:19" ht="13.5" customHeight="1">
      <c r="F114" s="77"/>
      <c r="H114" s="197"/>
      <c r="N114" s="180"/>
      <c r="Q114" s="180"/>
      <c r="S114" s="180"/>
    </row>
    <row r="115" spans="6:19" ht="13.5" customHeight="1">
      <c r="F115" s="77"/>
      <c r="H115" s="197"/>
      <c r="N115" s="180"/>
      <c r="Q115" s="180"/>
      <c r="S115" s="180"/>
    </row>
    <row r="116" spans="6:19" ht="13.5" customHeight="1">
      <c r="F116" s="77"/>
      <c r="H116" s="197"/>
      <c r="N116" s="180"/>
      <c r="Q116" s="180"/>
      <c r="S116" s="180"/>
    </row>
    <row r="117" spans="6:19" ht="13.5" customHeight="1">
      <c r="F117" s="77"/>
      <c r="H117" s="197"/>
      <c r="N117" s="180"/>
      <c r="Q117" s="180"/>
      <c r="S117" s="180"/>
    </row>
    <row r="118" spans="6:19" ht="13.5" customHeight="1">
      <c r="F118" s="77"/>
      <c r="H118" s="197"/>
      <c r="N118" s="180"/>
      <c r="Q118" s="180"/>
      <c r="S118" s="180"/>
    </row>
    <row r="119" spans="6:19" ht="13.5" customHeight="1">
      <c r="F119" s="77"/>
      <c r="H119" s="197"/>
      <c r="N119" s="180"/>
      <c r="Q119" s="180"/>
      <c r="S119" s="180"/>
    </row>
    <row r="120" spans="6:19" ht="13.5" customHeight="1">
      <c r="F120" s="77"/>
      <c r="H120" s="197"/>
      <c r="N120" s="180"/>
      <c r="Q120" s="180"/>
      <c r="S120" s="180"/>
    </row>
    <row r="121" spans="6:19" ht="13.5" customHeight="1">
      <c r="F121" s="77"/>
      <c r="H121" s="197"/>
      <c r="N121" s="180"/>
      <c r="Q121" s="180"/>
      <c r="S121" s="180"/>
    </row>
    <row r="122" spans="6:19" ht="13.5" customHeight="1">
      <c r="F122" s="77"/>
      <c r="H122" s="197"/>
      <c r="N122" s="180"/>
      <c r="Q122" s="180"/>
      <c r="S122" s="180"/>
    </row>
    <row r="123" spans="6:19" ht="13.5" customHeight="1">
      <c r="F123" s="77"/>
      <c r="H123" s="197"/>
      <c r="N123" s="180"/>
      <c r="Q123" s="180"/>
      <c r="S123" s="180"/>
    </row>
    <row r="124" spans="6:19" ht="13.5" customHeight="1">
      <c r="F124" s="77"/>
      <c r="H124" s="197"/>
      <c r="N124" s="180"/>
      <c r="Q124" s="180"/>
      <c r="S124" s="180"/>
    </row>
    <row r="125" spans="6:19" ht="13.5" customHeight="1">
      <c r="F125" s="77"/>
      <c r="H125" s="197"/>
      <c r="N125" s="180"/>
      <c r="Q125" s="180"/>
      <c r="S125" s="180"/>
    </row>
    <row r="126" spans="6:19" ht="13.5" customHeight="1">
      <c r="F126" s="77"/>
      <c r="H126" s="197"/>
      <c r="N126" s="180"/>
      <c r="Q126" s="180"/>
      <c r="S126" s="180"/>
    </row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</sheetData>
  <sheetProtection password="ECC8" sheet="1" objects="1" scenarios="1"/>
  <mergeCells count="25">
    <mergeCell ref="D14:E17"/>
    <mergeCell ref="R16:S16"/>
    <mergeCell ref="O14:Q14"/>
    <mergeCell ref="D2:S2"/>
    <mergeCell ref="D6:S6"/>
    <mergeCell ref="D7:S7"/>
    <mergeCell ref="O9:S9"/>
    <mergeCell ref="D11:F11"/>
    <mergeCell ref="O10:Q10"/>
    <mergeCell ref="J11:J12"/>
    <mergeCell ref="D12:F12"/>
    <mergeCell ref="K11:K12"/>
    <mergeCell ref="L11:L12"/>
    <mergeCell ref="M11:M12"/>
    <mergeCell ref="O11:Q11"/>
    <mergeCell ref="O13:Q13"/>
    <mergeCell ref="R37:S37"/>
    <mergeCell ref="AT37:AV37"/>
    <mergeCell ref="AW37:AY37"/>
    <mergeCell ref="J16:K16"/>
    <mergeCell ref="L16:N16"/>
    <mergeCell ref="O16:Q16"/>
    <mergeCell ref="J37:K37"/>
    <mergeCell ref="L37:N37"/>
    <mergeCell ref="O37:Q37"/>
  </mergeCells>
  <dataValidations count="2">
    <dataValidation type="list" allowBlank="1" showInputMessage="1" showErrorMessage="1" sqref="E19 E21:E27">
      <formula1>'     RR-FLEX Stacked'!$E$40:$E$168</formula1>
    </dataValidation>
    <dataValidation type="list" allowBlank="1" showInputMessage="1" showErrorMessage="1" prompt="=$E$37:$E$176" sqref="E20">
      <formula1>'     RR-FLEX Stacked'!$E$40:$E$168</formula1>
    </dataValidation>
  </dataValidations>
  <hyperlinks>
    <hyperlink ref="O13" r:id="rId1" display="www.plainscotton.org"/>
    <hyperlink ref="L4" r:id="rId2" display="http://www.plainscotton.org"/>
  </hyperlinks>
  <printOptions/>
  <pageMargins left="0.75" right="0.75" top="1" bottom="1" header="0.5" footer="0.5"/>
  <pageSetup fitToHeight="1" fitToWidth="1" orientation="landscape" scale="68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75"/>
  <sheetViews>
    <sheetView zoomScalePageLayoutView="0" workbookViewId="0" topLeftCell="A1">
      <selection activeCell="A4" sqref="A3:IV4"/>
    </sheetView>
  </sheetViews>
  <sheetFormatPr defaultColWidth="11.625" defaultRowHeight="12.75"/>
  <cols>
    <col min="1" max="1" width="1.75390625" style="1" customWidth="1"/>
    <col min="2" max="3" width="11.625" style="4" hidden="1" customWidth="1"/>
    <col min="4" max="4" width="12.75390625" style="1" customWidth="1"/>
    <col min="5" max="5" width="20.375" style="1" customWidth="1"/>
    <col min="6" max="6" width="12.625" style="73" customWidth="1"/>
    <col min="7" max="7" width="11.625" style="15" hidden="1" customWidth="1"/>
    <col min="8" max="8" width="11.625" style="16" hidden="1" customWidth="1"/>
    <col min="9" max="9" width="11.625" style="17" hidden="1" customWidth="1"/>
    <col min="10" max="10" width="11.00390625" style="6" customWidth="1"/>
    <col min="11" max="11" width="10.875" style="6" customWidth="1"/>
    <col min="12" max="12" width="10.375" style="19" customWidth="1"/>
    <col min="13" max="13" width="9.875" style="19" customWidth="1"/>
    <col min="14" max="14" width="9.875" style="172" customWidth="1"/>
    <col min="15" max="15" width="9.75390625" style="20" customWidth="1"/>
    <col min="16" max="16" width="9.75390625" style="21" customWidth="1"/>
    <col min="17" max="17" width="9.75390625" style="172" customWidth="1"/>
    <col min="18" max="18" width="9.75390625" style="18" customWidth="1"/>
    <col min="19" max="19" width="9.75390625" style="172" customWidth="1"/>
    <col min="20" max="20" width="4.375" style="3" customWidth="1"/>
    <col min="21" max="22" width="0" style="4" hidden="1" customWidth="1"/>
    <col min="23" max="23" width="2.25390625" style="3" hidden="1" customWidth="1"/>
    <col min="24" max="27" width="0" style="5" hidden="1" customWidth="1"/>
    <col min="28" max="28" width="15.375" style="5" hidden="1" customWidth="1"/>
    <col min="29" max="29" width="0" style="5" hidden="1" customWidth="1"/>
    <col min="30" max="30" width="15.375" style="5" hidden="1" customWidth="1"/>
    <col min="31" max="31" width="0" style="5" hidden="1" customWidth="1"/>
    <col min="32" max="32" width="15.375" style="5" hidden="1" customWidth="1"/>
    <col min="33" max="35" width="0" style="6" hidden="1" customWidth="1"/>
    <col min="36" max="41" width="10.00390625" style="5" hidden="1" customWidth="1"/>
    <col min="42" max="42" width="0" style="50" hidden="1" customWidth="1"/>
    <col min="43" max="43" width="0" style="5" hidden="1" customWidth="1"/>
    <col min="44" max="44" width="0" style="50" hidden="1" customWidth="1"/>
    <col min="45" max="45" width="0" style="5" hidden="1" customWidth="1"/>
    <col min="46" max="52" width="0" style="6" hidden="1" customWidth="1"/>
    <col min="53" max="57" width="0" style="5" hidden="1" customWidth="1"/>
    <col min="58" max="59" width="0" style="1" hidden="1" customWidth="1"/>
    <col min="60" max="60" width="0" style="5" hidden="1" customWidth="1"/>
    <col min="61" max="64" width="0" style="1" hidden="1" customWidth="1"/>
    <col min="65" max="65" width="0" style="7" hidden="1" customWidth="1"/>
    <col min="66" max="66" width="0" style="1" hidden="1" customWidth="1"/>
    <col min="67" max="16384" width="11.625" style="1" customWidth="1"/>
  </cols>
  <sheetData>
    <row r="1" spans="1:22" ht="10.5" customHeight="1">
      <c r="A1" s="209"/>
      <c r="B1" s="1"/>
      <c r="C1" s="1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1"/>
      <c r="U1" s="1"/>
      <c r="V1" s="1"/>
    </row>
    <row r="2" spans="2:22" ht="30.75" customHeight="1">
      <c r="B2" s="1"/>
      <c r="C2" s="1"/>
      <c r="D2" s="258" t="s">
        <v>144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1"/>
      <c r="U2" s="1"/>
      <c r="V2" s="1"/>
    </row>
    <row r="3" spans="2:22" ht="18" customHeight="1">
      <c r="B3" s="1"/>
      <c r="C3" s="1"/>
      <c r="D3" s="226"/>
      <c r="E3" s="226"/>
      <c r="F3" s="226"/>
      <c r="G3" s="226"/>
      <c r="H3" s="226"/>
      <c r="I3" s="226"/>
      <c r="J3" s="226"/>
      <c r="K3" s="226"/>
      <c r="L3" s="228" t="s">
        <v>244</v>
      </c>
      <c r="M3" s="226"/>
      <c r="N3" s="226"/>
      <c r="O3" s="226"/>
      <c r="P3" s="226"/>
      <c r="Q3" s="226"/>
      <c r="R3" s="226"/>
      <c r="S3" s="226"/>
      <c r="T3" s="1"/>
      <c r="U3" s="1"/>
      <c r="V3" s="1"/>
    </row>
    <row r="4" spans="2:22" ht="18" customHeight="1">
      <c r="B4" s="22"/>
      <c r="C4" s="22"/>
      <c r="D4" s="2"/>
      <c r="E4" s="2"/>
      <c r="F4" s="69"/>
      <c r="G4" s="2"/>
      <c r="H4" s="2"/>
      <c r="I4" s="8"/>
      <c r="J4" s="9"/>
      <c r="K4" s="10"/>
      <c r="L4" s="227" t="s">
        <v>243</v>
      </c>
      <c r="M4" s="1"/>
      <c r="N4" s="171"/>
      <c r="O4" s="1"/>
      <c r="P4" s="1"/>
      <c r="Q4" s="171"/>
      <c r="R4" s="9"/>
      <c r="S4" s="181"/>
      <c r="T4" s="22"/>
      <c r="U4" s="22"/>
      <c r="V4" s="22"/>
    </row>
    <row r="5" spans="2:22" ht="9" customHeight="1" thickBot="1">
      <c r="B5" s="22"/>
      <c r="C5" s="22"/>
      <c r="D5" s="2"/>
      <c r="E5" s="2"/>
      <c r="F5" s="69"/>
      <c r="G5" s="2"/>
      <c r="H5" s="2"/>
      <c r="I5" s="8"/>
      <c r="J5" s="9"/>
      <c r="K5" s="10"/>
      <c r="L5" s="224"/>
      <c r="M5" s="1"/>
      <c r="N5" s="171"/>
      <c r="O5" s="1"/>
      <c r="P5" s="1"/>
      <c r="Q5" s="171"/>
      <c r="R5" s="9"/>
      <c r="S5" s="181"/>
      <c r="T5" s="22"/>
      <c r="U5" s="22"/>
      <c r="V5" s="22"/>
    </row>
    <row r="6" spans="4:65" s="4" customFormat="1" ht="21" customHeight="1" thickTop="1">
      <c r="D6" s="262" t="s">
        <v>166</v>
      </c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4"/>
      <c r="W6" s="11"/>
      <c r="X6" s="12"/>
      <c r="Y6" s="12"/>
      <c r="Z6" s="12"/>
      <c r="AA6" s="12"/>
      <c r="AB6" s="12"/>
      <c r="AC6" s="12"/>
      <c r="AD6" s="12"/>
      <c r="AE6" s="12"/>
      <c r="AF6" s="12"/>
      <c r="AG6" s="13"/>
      <c r="AH6" s="13"/>
      <c r="AI6" s="13"/>
      <c r="AJ6" s="12"/>
      <c r="AK6" s="12"/>
      <c r="AL6" s="12"/>
      <c r="AM6" s="12"/>
      <c r="AN6" s="12"/>
      <c r="AO6" s="12"/>
      <c r="AP6" s="65"/>
      <c r="AQ6" s="12"/>
      <c r="AR6" s="65"/>
      <c r="AS6" s="12"/>
      <c r="AT6" s="13"/>
      <c r="AU6" s="13"/>
      <c r="AV6" s="13"/>
      <c r="AW6" s="13"/>
      <c r="AX6" s="13"/>
      <c r="AY6" s="13"/>
      <c r="AZ6" s="13"/>
      <c r="BA6" s="12"/>
      <c r="BB6" s="12"/>
      <c r="BC6" s="12"/>
      <c r="BD6" s="12"/>
      <c r="BE6" s="12"/>
      <c r="BH6" s="12"/>
      <c r="BM6" s="14"/>
    </row>
    <row r="7" spans="4:65" s="4" customFormat="1" ht="21" customHeight="1" thickBot="1">
      <c r="D7" s="265" t="s">
        <v>58</v>
      </c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7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3"/>
      <c r="AH7" s="13"/>
      <c r="AI7" s="13"/>
      <c r="AJ7" s="12"/>
      <c r="AK7" s="12"/>
      <c r="AL7" s="12"/>
      <c r="AM7" s="12"/>
      <c r="AN7" s="12"/>
      <c r="AO7" s="12"/>
      <c r="AP7" s="65"/>
      <c r="AQ7" s="12"/>
      <c r="AR7" s="65"/>
      <c r="AS7" s="12"/>
      <c r="AT7" s="13"/>
      <c r="AU7" s="13"/>
      <c r="AV7" s="13"/>
      <c r="AW7" s="13"/>
      <c r="AX7" s="13"/>
      <c r="AY7" s="13"/>
      <c r="AZ7" s="13"/>
      <c r="BA7" s="12"/>
      <c r="BB7" s="12"/>
      <c r="BC7" s="12"/>
      <c r="BD7" s="12"/>
      <c r="BE7" s="12"/>
      <c r="BH7" s="12"/>
      <c r="BM7" s="14"/>
    </row>
    <row r="8" spans="1:65" s="4" customFormat="1" ht="9" customHeight="1" thickBot="1">
      <c r="A8" s="1"/>
      <c r="B8" s="22"/>
      <c r="C8" s="22"/>
      <c r="D8" s="50"/>
      <c r="E8" s="51"/>
      <c r="F8" s="70"/>
      <c r="G8" s="36"/>
      <c r="H8" s="36"/>
      <c r="I8" s="21"/>
      <c r="J8" s="19"/>
      <c r="K8" s="20"/>
      <c r="L8" s="3"/>
      <c r="M8" s="1"/>
      <c r="N8" s="171"/>
      <c r="O8" s="1"/>
      <c r="P8" s="1"/>
      <c r="Q8" s="171"/>
      <c r="R8" s="19"/>
      <c r="S8" s="181"/>
      <c r="T8" s="22"/>
      <c r="U8" s="22"/>
      <c r="V8" s="22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3"/>
      <c r="AH8" s="13"/>
      <c r="AI8" s="13"/>
      <c r="AJ8" s="12"/>
      <c r="AK8" s="12"/>
      <c r="AL8" s="12"/>
      <c r="AM8" s="12"/>
      <c r="AN8" s="12"/>
      <c r="AO8" s="12"/>
      <c r="AP8" s="65"/>
      <c r="AQ8" s="12"/>
      <c r="AR8" s="65"/>
      <c r="AS8" s="12"/>
      <c r="AT8" s="13"/>
      <c r="AU8" s="13"/>
      <c r="AV8" s="13"/>
      <c r="AW8" s="13"/>
      <c r="AX8" s="13"/>
      <c r="AY8" s="13"/>
      <c r="AZ8" s="13"/>
      <c r="BA8" s="12"/>
      <c r="BB8" s="12"/>
      <c r="BC8" s="12"/>
      <c r="BD8" s="12"/>
      <c r="BE8" s="12"/>
      <c r="BH8" s="12"/>
      <c r="BM8" s="14"/>
    </row>
    <row r="9" spans="1:65" s="4" customFormat="1" ht="16.5" thickBot="1">
      <c r="A9" s="1"/>
      <c r="B9" s="22"/>
      <c r="C9" s="22"/>
      <c r="D9" s="22"/>
      <c r="E9" s="22"/>
      <c r="F9" s="71"/>
      <c r="G9" s="22"/>
      <c r="H9" s="196"/>
      <c r="I9" s="22"/>
      <c r="J9" s="22"/>
      <c r="K9" s="22"/>
      <c r="L9" s="3"/>
      <c r="M9" s="1"/>
      <c r="N9" s="171"/>
      <c r="O9" s="259" t="s">
        <v>124</v>
      </c>
      <c r="P9" s="260"/>
      <c r="Q9" s="260"/>
      <c r="R9" s="260"/>
      <c r="S9" s="261"/>
      <c r="T9" s="22"/>
      <c r="U9" s="22"/>
      <c r="V9" s="22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3"/>
      <c r="AH9" s="13"/>
      <c r="AI9" s="13"/>
      <c r="AJ9" s="12"/>
      <c r="AK9" s="12"/>
      <c r="AL9" s="12"/>
      <c r="AM9" s="12"/>
      <c r="AN9" s="12"/>
      <c r="AO9" s="12"/>
      <c r="AP9" s="65"/>
      <c r="AQ9" s="12"/>
      <c r="AR9" s="65"/>
      <c r="AS9" s="12"/>
      <c r="AT9" s="13"/>
      <c r="AU9" s="13"/>
      <c r="AV9" s="13"/>
      <c r="AW9" s="13"/>
      <c r="AX9" s="13"/>
      <c r="AY9" s="13"/>
      <c r="AZ9" s="13"/>
      <c r="BA9" s="12"/>
      <c r="BB9" s="12"/>
      <c r="BC9" s="12"/>
      <c r="BD9" s="12"/>
      <c r="BE9" s="12"/>
      <c r="BH9" s="12"/>
      <c r="BM9" s="14"/>
    </row>
    <row r="10" spans="4:19" ht="30.75" customHeight="1" thickBot="1">
      <c r="D10" s="114" t="s">
        <v>59</v>
      </c>
      <c r="E10" s="68"/>
      <c r="F10" s="72"/>
      <c r="J10" s="115" t="s">
        <v>6</v>
      </c>
      <c r="K10" s="115" t="s">
        <v>5</v>
      </c>
      <c r="L10" s="115" t="s">
        <v>26</v>
      </c>
      <c r="M10" s="116" t="s">
        <v>189</v>
      </c>
      <c r="O10" s="268" t="s">
        <v>169</v>
      </c>
      <c r="P10" s="269"/>
      <c r="Q10" s="269"/>
      <c r="R10" s="211"/>
      <c r="S10" s="212"/>
    </row>
    <row r="11" spans="4:19" ht="18.75" customHeight="1">
      <c r="D11" s="250" t="s">
        <v>68</v>
      </c>
      <c r="E11" s="251"/>
      <c r="F11" s="246"/>
      <c r="J11" s="270"/>
      <c r="K11" s="272">
        <v>40</v>
      </c>
      <c r="L11" s="274">
        <v>4</v>
      </c>
      <c r="M11" s="276">
        <f>(43560/($K11/12)*L11)</f>
        <v>52272</v>
      </c>
      <c r="O11" s="254" t="s">
        <v>197</v>
      </c>
      <c r="P11" s="255"/>
      <c r="Q11" s="255"/>
      <c r="R11" s="213"/>
      <c r="S11" s="214"/>
    </row>
    <row r="12" spans="4:71" ht="18" customHeight="1" thickBot="1">
      <c r="D12" s="250" t="s">
        <v>164</v>
      </c>
      <c r="E12" s="251"/>
      <c r="F12" s="246"/>
      <c r="J12" s="271"/>
      <c r="K12" s="273"/>
      <c r="L12" s="275"/>
      <c r="M12" s="277"/>
      <c r="O12" s="215"/>
      <c r="P12" s="216"/>
      <c r="Q12" s="217"/>
      <c r="R12" s="213"/>
      <c r="S12" s="214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66"/>
      <c r="AQ12" s="22"/>
      <c r="AR12" s="66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</row>
    <row r="13" spans="4:71" ht="28.5" customHeight="1" thickBot="1">
      <c r="D13" s="114" t="s">
        <v>60</v>
      </c>
      <c r="E13" s="117"/>
      <c r="F13" s="118"/>
      <c r="G13" s="1"/>
      <c r="H13" s="119"/>
      <c r="I13" s="119"/>
      <c r="J13" s="119"/>
      <c r="K13" s="1"/>
      <c r="L13" s="22"/>
      <c r="M13" s="22"/>
      <c r="N13" s="186"/>
      <c r="O13" s="256" t="s">
        <v>192</v>
      </c>
      <c r="P13" s="257"/>
      <c r="Q13" s="257"/>
      <c r="R13" s="218"/>
      <c r="S13" s="219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66"/>
      <c r="AQ13" s="22"/>
      <c r="AR13" s="66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</row>
    <row r="14" spans="4:71" ht="6" customHeight="1" thickBot="1">
      <c r="D14" s="245" t="s">
        <v>185</v>
      </c>
      <c r="E14" s="246"/>
      <c r="O14" s="252"/>
      <c r="P14" s="253"/>
      <c r="Q14" s="253"/>
      <c r="R14" s="220"/>
      <c r="S14" s="221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66"/>
      <c r="AQ14" s="22"/>
      <c r="AR14" s="66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</row>
    <row r="15" spans="4:71" ht="4.5" customHeight="1" thickBot="1">
      <c r="D15" s="247"/>
      <c r="E15" s="246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66"/>
      <c r="AQ15" s="22"/>
      <c r="AR15" s="66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</row>
    <row r="16" spans="4:71" ht="12.75" customHeight="1">
      <c r="D16" s="247"/>
      <c r="E16" s="246"/>
      <c r="F16" s="120" t="s">
        <v>121</v>
      </c>
      <c r="G16" s="121" t="s">
        <v>125</v>
      </c>
      <c r="H16" s="122" t="s">
        <v>66</v>
      </c>
      <c r="J16" s="229" t="s">
        <v>126</v>
      </c>
      <c r="K16" s="230"/>
      <c r="L16" s="231" t="s">
        <v>4</v>
      </c>
      <c r="M16" s="232"/>
      <c r="N16" s="233"/>
      <c r="O16" s="234" t="s">
        <v>167</v>
      </c>
      <c r="P16" s="235"/>
      <c r="Q16" s="236"/>
      <c r="R16" s="237" t="s">
        <v>1</v>
      </c>
      <c r="S16" s="238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66"/>
      <c r="AQ16" s="22"/>
      <c r="AR16" s="66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</row>
    <row r="17" spans="4:71" ht="18" customHeight="1" thickBot="1">
      <c r="D17" s="248"/>
      <c r="E17" s="249"/>
      <c r="F17" s="123" t="s">
        <v>153</v>
      </c>
      <c r="G17" s="124" t="s">
        <v>154</v>
      </c>
      <c r="H17" s="125" t="s">
        <v>155</v>
      </c>
      <c r="I17" s="52">
        <v>2003</v>
      </c>
      <c r="J17" s="126">
        <f>$Y$38</f>
        <v>2010</v>
      </c>
      <c r="K17" s="127">
        <f>$Z$38</f>
        <v>2011</v>
      </c>
      <c r="L17" s="128">
        <f>$Y$38</f>
        <v>2010</v>
      </c>
      <c r="M17" s="129">
        <f>$Z$38</f>
        <v>2011</v>
      </c>
      <c r="N17" s="187" t="s">
        <v>161</v>
      </c>
      <c r="O17" s="141">
        <f>$Y$38</f>
        <v>2010</v>
      </c>
      <c r="P17" s="142">
        <f>$Z$38</f>
        <v>2011</v>
      </c>
      <c r="Q17" s="173" t="s">
        <v>161</v>
      </c>
      <c r="R17" s="130" t="s">
        <v>156</v>
      </c>
      <c r="S17" s="182" t="s">
        <v>161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 s="22"/>
      <c r="BQ17" s="22"/>
      <c r="BR17" s="22"/>
      <c r="BS17" s="22"/>
    </row>
    <row r="18" spans="4:19" ht="4.5" customHeight="1" thickBot="1">
      <c r="D18" s="53"/>
      <c r="E18" s="54"/>
      <c r="F18" s="74"/>
      <c r="G18" s="55"/>
      <c r="H18" s="56"/>
      <c r="I18" s="57"/>
      <c r="J18" s="58"/>
      <c r="K18" s="59"/>
      <c r="L18" s="60"/>
      <c r="M18" s="61"/>
      <c r="N18" s="174"/>
      <c r="O18" s="62"/>
      <c r="P18" s="63"/>
      <c r="Q18" s="174"/>
      <c r="R18" s="64"/>
      <c r="S18" s="174"/>
    </row>
    <row r="19" spans="4:19" ht="21" customHeight="1">
      <c r="D19" s="78" t="s">
        <v>186</v>
      </c>
      <c r="E19" s="200" t="s">
        <v>71</v>
      </c>
      <c r="F19" s="79">
        <f aca="true" t="shared" si="0" ref="F19:F27">VLOOKUP($E19,$E$40:$Q$47,2)</f>
        <v>52272</v>
      </c>
      <c r="G19" s="80">
        <f aca="true" t="shared" si="1" ref="G19:G27">VLOOKUP($E19,$E$40:$Q$47,3)</f>
        <v>40</v>
      </c>
      <c r="H19" s="81">
        <f aca="true" t="shared" si="2" ref="H19:H27">VLOOKUP($E19,$E$40:$Q$47,4)</f>
        <v>4</v>
      </c>
      <c r="I19" s="82">
        <f aca="true" t="shared" si="3" ref="I19:I27">VLOOKUP($E19,$E$40:$Q$47,5)</f>
        <v>42.91531199999999</v>
      </c>
      <c r="J19" s="83">
        <f aca="true" t="shared" si="4" ref="J19:J27">VLOOKUP($E19,$E$40:$S$47,6)</f>
        <v>38.895120000000006</v>
      </c>
      <c r="K19" s="84">
        <f aca="true" t="shared" si="5" ref="K19:K27">VLOOKUP($E19,$E$40:$S$47,7)</f>
        <v>42.45912</v>
      </c>
      <c r="L19" s="85">
        <f aca="true" t="shared" si="6" ref="L19:L27">VLOOKUP($E19,$E$40:$S$47,8)</f>
        <v>21.384</v>
      </c>
      <c r="M19" s="86">
        <f aca="true" t="shared" si="7" ref="M19:M27">VLOOKUP($E19,$E$40:$S$47,9)</f>
        <v>24.948</v>
      </c>
      <c r="N19" s="188">
        <f aca="true" t="shared" si="8" ref="N19:N27">VLOOKUP($E19,$E$40:$S$47,10)</f>
        <v>0.16666666666666674</v>
      </c>
      <c r="O19" s="87">
        <f aca="true" t="shared" si="9" ref="O19:O27">VLOOKUP($E19,$E$40:$S$47,11)</f>
        <v>17.511120000000002</v>
      </c>
      <c r="P19" s="88">
        <f aca="true" t="shared" si="10" ref="P19:P27">VLOOKUP($E19,$E$40:$S$47,12)</f>
        <v>17.511120000000002</v>
      </c>
      <c r="Q19" s="175">
        <f aca="true" t="shared" si="11" ref="Q19:Q27">VLOOKUP($E19,$E$40:$S$47,13)</f>
        <v>0</v>
      </c>
      <c r="R19" s="89">
        <f aca="true" t="shared" si="12" ref="R19:R27">VLOOKUP($E19,$E$40:$S$47,14)</f>
        <v>3.563999999999993</v>
      </c>
      <c r="S19" s="183">
        <f aca="true" t="shared" si="13" ref="S19:S27">VLOOKUP($E19,$E$40:$S$47,15)</f>
        <v>0.09163103237629791</v>
      </c>
    </row>
    <row r="20" spans="4:19" ht="21" customHeight="1">
      <c r="D20" s="78" t="s">
        <v>187</v>
      </c>
      <c r="E20" s="201" t="s">
        <v>71</v>
      </c>
      <c r="F20" s="90">
        <f t="shared" si="0"/>
        <v>52272</v>
      </c>
      <c r="G20" s="91">
        <f t="shared" si="1"/>
        <v>40</v>
      </c>
      <c r="H20" s="92">
        <f t="shared" si="2"/>
        <v>4</v>
      </c>
      <c r="I20" s="93">
        <f t="shared" si="3"/>
        <v>42.91531199999999</v>
      </c>
      <c r="J20" s="94">
        <f t="shared" si="4"/>
        <v>38.895120000000006</v>
      </c>
      <c r="K20" s="95">
        <f t="shared" si="5"/>
        <v>42.45912</v>
      </c>
      <c r="L20" s="96">
        <f t="shared" si="6"/>
        <v>21.384</v>
      </c>
      <c r="M20" s="97">
        <f t="shared" si="7"/>
        <v>24.948</v>
      </c>
      <c r="N20" s="189">
        <f t="shared" si="8"/>
        <v>0.16666666666666674</v>
      </c>
      <c r="O20" s="98">
        <f t="shared" si="9"/>
        <v>17.511120000000002</v>
      </c>
      <c r="P20" s="99">
        <f t="shared" si="10"/>
        <v>17.511120000000002</v>
      </c>
      <c r="Q20" s="176">
        <f t="shared" si="11"/>
        <v>0</v>
      </c>
      <c r="R20" s="100">
        <f t="shared" si="12"/>
        <v>3.563999999999993</v>
      </c>
      <c r="S20" s="184">
        <f t="shared" si="13"/>
        <v>0.09163103237629791</v>
      </c>
    </row>
    <row r="21" spans="4:19" ht="21" customHeight="1">
      <c r="D21" s="78" t="s">
        <v>131</v>
      </c>
      <c r="E21" s="201" t="s">
        <v>2</v>
      </c>
      <c r="F21" s="90">
        <f t="shared" si="0"/>
        <v>52272</v>
      </c>
      <c r="G21" s="91">
        <f t="shared" si="1"/>
        <v>40</v>
      </c>
      <c r="H21" s="92">
        <f t="shared" si="2"/>
        <v>4</v>
      </c>
      <c r="I21" s="93">
        <f t="shared" si="3"/>
        <v>42.91531199999999</v>
      </c>
      <c r="J21" s="94">
        <f t="shared" si="4"/>
        <v>38.895120000000006</v>
      </c>
      <c r="K21" s="95">
        <f t="shared" si="5"/>
        <v>42.45912</v>
      </c>
      <c r="L21" s="96">
        <f t="shared" si="6"/>
        <v>21.384</v>
      </c>
      <c r="M21" s="97">
        <f t="shared" si="7"/>
        <v>24.948</v>
      </c>
      <c r="N21" s="189">
        <f t="shared" si="8"/>
        <v>0.16666666666666674</v>
      </c>
      <c r="O21" s="98">
        <f t="shared" si="9"/>
        <v>17.511120000000002</v>
      </c>
      <c r="P21" s="99">
        <f t="shared" si="10"/>
        <v>17.511120000000002</v>
      </c>
      <c r="Q21" s="176">
        <f t="shared" si="11"/>
        <v>0</v>
      </c>
      <c r="R21" s="100">
        <f t="shared" si="12"/>
        <v>3.563999999999993</v>
      </c>
      <c r="S21" s="184">
        <f t="shared" si="13"/>
        <v>0.09163103237629791</v>
      </c>
    </row>
    <row r="22" spans="4:19" ht="21" customHeight="1">
      <c r="D22" s="101" t="s">
        <v>143</v>
      </c>
      <c r="E22" s="199" t="s">
        <v>2</v>
      </c>
      <c r="F22" s="90">
        <f t="shared" si="0"/>
        <v>52272</v>
      </c>
      <c r="G22" s="91">
        <f t="shared" si="1"/>
        <v>40</v>
      </c>
      <c r="H22" s="92">
        <f t="shared" si="2"/>
        <v>4</v>
      </c>
      <c r="I22" s="93">
        <f t="shared" si="3"/>
        <v>42.91531199999999</v>
      </c>
      <c r="J22" s="94">
        <f t="shared" si="4"/>
        <v>38.895120000000006</v>
      </c>
      <c r="K22" s="95">
        <f t="shared" si="5"/>
        <v>42.45912</v>
      </c>
      <c r="L22" s="96">
        <f t="shared" si="6"/>
        <v>21.384</v>
      </c>
      <c r="M22" s="97">
        <f t="shared" si="7"/>
        <v>24.948</v>
      </c>
      <c r="N22" s="189">
        <f t="shared" si="8"/>
        <v>0.16666666666666674</v>
      </c>
      <c r="O22" s="98">
        <f t="shared" si="9"/>
        <v>17.511120000000002</v>
      </c>
      <c r="P22" s="99">
        <f t="shared" si="10"/>
        <v>17.511120000000002</v>
      </c>
      <c r="Q22" s="176">
        <f t="shared" si="11"/>
        <v>0</v>
      </c>
      <c r="R22" s="100">
        <f t="shared" si="12"/>
        <v>3.563999999999993</v>
      </c>
      <c r="S22" s="184">
        <f t="shared" si="13"/>
        <v>0.09163103237629791</v>
      </c>
    </row>
    <row r="23" spans="4:19" ht="21" customHeight="1">
      <c r="D23" s="102" t="s">
        <v>188</v>
      </c>
      <c r="E23" s="103" t="s">
        <v>3</v>
      </c>
      <c r="F23" s="90">
        <f t="shared" si="0"/>
        <v>52272</v>
      </c>
      <c r="G23" s="91">
        <f t="shared" si="1"/>
        <v>40</v>
      </c>
      <c r="H23" s="92">
        <f t="shared" si="2"/>
        <v>4</v>
      </c>
      <c r="I23" s="93">
        <f t="shared" si="3"/>
        <v>0</v>
      </c>
      <c r="J23" s="94">
        <f t="shared" si="4"/>
        <v>71.77172869565217</v>
      </c>
      <c r="K23" s="95">
        <f t="shared" si="5"/>
        <v>73.58988521739131</v>
      </c>
      <c r="L23" s="96">
        <f t="shared" si="6"/>
        <v>30.454121739130436</v>
      </c>
      <c r="M23" s="97">
        <f t="shared" si="7"/>
        <v>32.27227826086957</v>
      </c>
      <c r="N23" s="189">
        <f t="shared" si="8"/>
        <v>0.059701492537313605</v>
      </c>
      <c r="O23" s="98">
        <f t="shared" si="9"/>
        <v>41.31760695652174</v>
      </c>
      <c r="P23" s="99">
        <f t="shared" si="10"/>
        <v>41.31760695652174</v>
      </c>
      <c r="Q23" s="176">
        <f t="shared" si="11"/>
        <v>0</v>
      </c>
      <c r="R23" s="100">
        <f t="shared" si="12"/>
        <v>1.8181565217391409</v>
      </c>
      <c r="S23" s="184">
        <f t="shared" si="13"/>
        <v>0.025332488917036246</v>
      </c>
    </row>
    <row r="24" spans="4:19" ht="21" customHeight="1">
      <c r="D24" s="102" t="s">
        <v>92</v>
      </c>
      <c r="E24" s="103" t="s">
        <v>222</v>
      </c>
      <c r="F24" s="90">
        <f t="shared" si="0"/>
        <v>52272</v>
      </c>
      <c r="G24" s="91">
        <f t="shared" si="1"/>
        <v>40</v>
      </c>
      <c r="H24" s="92">
        <f t="shared" si="2"/>
        <v>4</v>
      </c>
      <c r="I24" s="93">
        <f t="shared" si="3"/>
        <v>0</v>
      </c>
      <c r="J24" s="94">
        <f t="shared" si="4"/>
        <v>0</v>
      </c>
      <c r="K24" s="95">
        <f t="shared" si="5"/>
        <v>73.58988521739131</v>
      </c>
      <c r="L24" s="96">
        <f t="shared" si="6"/>
      </c>
      <c r="M24" s="97">
        <f t="shared" si="7"/>
        <v>32.27227826086957</v>
      </c>
      <c r="N24" s="189" t="str">
        <f t="shared" si="8"/>
        <v>New</v>
      </c>
      <c r="O24" s="98">
        <f t="shared" si="9"/>
      </c>
      <c r="P24" s="99">
        <f t="shared" si="10"/>
        <v>41.31760695652174</v>
      </c>
      <c r="Q24" s="176" t="str">
        <f t="shared" si="11"/>
        <v>New</v>
      </c>
      <c r="R24" s="100" t="str">
        <f t="shared" si="12"/>
        <v>New</v>
      </c>
      <c r="S24" s="184">
        <f t="shared" si="13"/>
      </c>
    </row>
    <row r="25" spans="4:19" ht="21" customHeight="1">
      <c r="D25" s="102" t="s">
        <v>158</v>
      </c>
      <c r="E25" s="103" t="s">
        <v>93</v>
      </c>
      <c r="F25" s="90">
        <f t="shared" si="0"/>
        <v>52272</v>
      </c>
      <c r="G25" s="91">
        <f t="shared" si="1"/>
        <v>40</v>
      </c>
      <c r="H25" s="92">
        <f t="shared" si="2"/>
        <v>4</v>
      </c>
      <c r="I25" s="93">
        <f t="shared" si="3"/>
        <v>67.68087652173914</v>
      </c>
      <c r="J25" s="94">
        <f t="shared" si="4"/>
        <v>71.77172869565217</v>
      </c>
      <c r="K25" s="95">
        <f t="shared" si="5"/>
        <v>73.58988521739131</v>
      </c>
      <c r="L25" s="96">
        <f t="shared" si="6"/>
        <v>30.454121739130436</v>
      </c>
      <c r="M25" s="97">
        <f t="shared" si="7"/>
        <v>32.27227826086957</v>
      </c>
      <c r="N25" s="189">
        <f t="shared" si="8"/>
        <v>0.059701492537313605</v>
      </c>
      <c r="O25" s="98">
        <f t="shared" si="9"/>
        <v>41.31760695652174</v>
      </c>
      <c r="P25" s="99">
        <f t="shared" si="10"/>
        <v>41.31760695652174</v>
      </c>
      <c r="Q25" s="176">
        <f t="shared" si="11"/>
        <v>0</v>
      </c>
      <c r="R25" s="100">
        <f t="shared" si="12"/>
        <v>1.8181565217391409</v>
      </c>
      <c r="S25" s="184">
        <f t="shared" si="13"/>
        <v>0.025332488917036246</v>
      </c>
    </row>
    <row r="26" spans="4:19" ht="21" customHeight="1">
      <c r="D26" s="102" t="s">
        <v>159</v>
      </c>
      <c r="E26" s="103" t="s">
        <v>194</v>
      </c>
      <c r="F26" s="90">
        <f t="shared" si="0"/>
        <v>52272</v>
      </c>
      <c r="G26" s="91">
        <f t="shared" si="1"/>
        <v>40</v>
      </c>
      <c r="H26" s="92">
        <f t="shared" si="2"/>
        <v>4</v>
      </c>
      <c r="I26" s="93">
        <f t="shared" si="3"/>
        <v>67.68087652173914</v>
      </c>
      <c r="J26" s="94">
        <f t="shared" si="4"/>
        <v>71.77172869565217</v>
      </c>
      <c r="K26" s="95">
        <f t="shared" si="5"/>
        <v>73.58988521739131</v>
      </c>
      <c r="L26" s="96">
        <f t="shared" si="6"/>
        <v>30.454121739130436</v>
      </c>
      <c r="M26" s="97">
        <f t="shared" si="7"/>
        <v>32.27227826086957</v>
      </c>
      <c r="N26" s="189">
        <f t="shared" si="8"/>
        <v>0.059701492537313605</v>
      </c>
      <c r="O26" s="98">
        <f t="shared" si="9"/>
        <v>41.31760695652174</v>
      </c>
      <c r="P26" s="99">
        <f t="shared" si="10"/>
        <v>41.31760695652174</v>
      </c>
      <c r="Q26" s="176">
        <f t="shared" si="11"/>
        <v>0</v>
      </c>
      <c r="R26" s="100">
        <f t="shared" si="12"/>
        <v>1.8181565217391409</v>
      </c>
      <c r="S26" s="184">
        <f t="shared" si="13"/>
        <v>0.025332488917036246</v>
      </c>
    </row>
    <row r="27" spans="4:19" ht="21" customHeight="1" thickBot="1">
      <c r="D27" s="104" t="s">
        <v>160</v>
      </c>
      <c r="E27" s="105" t="s">
        <v>3</v>
      </c>
      <c r="F27" s="106">
        <f t="shared" si="0"/>
        <v>52272</v>
      </c>
      <c r="G27" s="91">
        <f t="shared" si="1"/>
        <v>40</v>
      </c>
      <c r="H27" s="92">
        <f t="shared" si="2"/>
        <v>4</v>
      </c>
      <c r="I27" s="93">
        <f t="shared" si="3"/>
        <v>0</v>
      </c>
      <c r="J27" s="107">
        <f t="shared" si="4"/>
        <v>71.77172869565217</v>
      </c>
      <c r="K27" s="108">
        <f t="shared" si="5"/>
        <v>73.58988521739131</v>
      </c>
      <c r="L27" s="109">
        <f t="shared" si="6"/>
        <v>30.454121739130436</v>
      </c>
      <c r="M27" s="110">
        <f t="shared" si="7"/>
        <v>32.27227826086957</v>
      </c>
      <c r="N27" s="190">
        <f t="shared" si="8"/>
        <v>0.059701492537313605</v>
      </c>
      <c r="O27" s="111">
        <f t="shared" si="9"/>
        <v>41.31760695652174</v>
      </c>
      <c r="P27" s="112">
        <f t="shared" si="10"/>
        <v>41.31760695652174</v>
      </c>
      <c r="Q27" s="177">
        <f t="shared" si="11"/>
        <v>0</v>
      </c>
      <c r="R27" s="113">
        <f t="shared" si="12"/>
        <v>1.8181565217391409</v>
      </c>
      <c r="S27" s="185">
        <f t="shared" si="13"/>
        <v>0.025332488917036246</v>
      </c>
    </row>
    <row r="28" spans="3:65" s="4" customFormat="1" ht="6.75" customHeight="1">
      <c r="C28" s="41"/>
      <c r="D28" s="41"/>
      <c r="E28" s="41"/>
      <c r="F28" s="75"/>
      <c r="G28" s="41"/>
      <c r="H28" s="41"/>
      <c r="I28" s="42"/>
      <c r="J28" s="13"/>
      <c r="K28" s="13"/>
      <c r="L28" s="44"/>
      <c r="M28" s="44"/>
      <c r="N28" s="179"/>
      <c r="O28" s="45"/>
      <c r="P28" s="46"/>
      <c r="Q28" s="178"/>
      <c r="R28" s="43"/>
      <c r="S28" s="179"/>
      <c r="T28" s="3"/>
      <c r="U28" s="41"/>
      <c r="W28" s="3"/>
      <c r="X28" s="12"/>
      <c r="Y28" s="12"/>
      <c r="Z28" s="12"/>
      <c r="AA28" s="12"/>
      <c r="AB28" s="12"/>
      <c r="AC28" s="12"/>
      <c r="AD28" s="12"/>
      <c r="AE28" s="12"/>
      <c r="AF28" s="12"/>
      <c r="AG28" s="13"/>
      <c r="AH28" s="13"/>
      <c r="AI28" s="13"/>
      <c r="AJ28" s="12"/>
      <c r="AK28" s="12"/>
      <c r="AL28" s="12"/>
      <c r="AM28" s="12"/>
      <c r="AN28" s="12"/>
      <c r="AO28" s="12"/>
      <c r="AP28" s="65"/>
      <c r="AQ28" s="12"/>
      <c r="AR28" s="65"/>
      <c r="AS28" s="12"/>
      <c r="AT28" s="13"/>
      <c r="AU28" s="13"/>
      <c r="AV28" s="13"/>
      <c r="AW28" s="13"/>
      <c r="AX28" s="13"/>
      <c r="AY28" s="3"/>
      <c r="AZ28" s="3"/>
      <c r="BA28" s="12"/>
      <c r="BB28" s="12"/>
      <c r="BC28" s="12"/>
      <c r="BD28" s="12"/>
      <c r="BE28" s="12"/>
      <c r="BH28" s="12"/>
      <c r="BM28" s="14"/>
    </row>
    <row r="29" spans="4:65" s="4" customFormat="1" ht="13.5" customHeight="1">
      <c r="D29" s="4" t="s">
        <v>9</v>
      </c>
      <c r="F29" s="76"/>
      <c r="G29" s="48"/>
      <c r="H29" s="49"/>
      <c r="I29" s="42"/>
      <c r="J29" s="13"/>
      <c r="K29" s="13"/>
      <c r="L29" s="44"/>
      <c r="M29" s="44"/>
      <c r="N29" s="179"/>
      <c r="O29" s="45"/>
      <c r="P29" s="46"/>
      <c r="Q29" s="178"/>
      <c r="R29" s="43"/>
      <c r="S29" s="179"/>
      <c r="T29" s="3"/>
      <c r="W29" s="3"/>
      <c r="X29" s="12"/>
      <c r="Y29" s="12"/>
      <c r="Z29" s="12"/>
      <c r="AA29" s="12"/>
      <c r="AB29" s="12"/>
      <c r="AC29" s="12"/>
      <c r="AD29" s="12"/>
      <c r="AE29" s="12"/>
      <c r="AF29" s="12"/>
      <c r="AG29" s="13"/>
      <c r="AH29" s="13"/>
      <c r="AI29" s="13"/>
      <c r="AJ29" s="12"/>
      <c r="AK29" s="12"/>
      <c r="AL29" s="12"/>
      <c r="AM29" s="12"/>
      <c r="AN29" s="12"/>
      <c r="AO29" s="12"/>
      <c r="AP29" s="65"/>
      <c r="AQ29" s="12"/>
      <c r="AR29" s="65"/>
      <c r="AS29" s="12"/>
      <c r="AT29" s="13"/>
      <c r="AU29" s="13"/>
      <c r="AV29" s="13"/>
      <c r="AW29" s="13"/>
      <c r="AX29" s="13"/>
      <c r="AY29" s="3"/>
      <c r="AZ29" s="3"/>
      <c r="BA29" s="12"/>
      <c r="BB29" s="12"/>
      <c r="BC29" s="12"/>
      <c r="BD29" s="12"/>
      <c r="BE29" s="12"/>
      <c r="BH29" s="12"/>
      <c r="BM29" s="14"/>
    </row>
    <row r="30" spans="1:65" s="165" customFormat="1" ht="18" customHeight="1">
      <c r="A30" s="198"/>
      <c r="B30" s="198"/>
      <c r="C30" s="198"/>
      <c r="D30" s="4" t="s">
        <v>168</v>
      </c>
      <c r="E30" s="4"/>
      <c r="F30" s="76"/>
      <c r="G30" s="48"/>
      <c r="H30" s="49"/>
      <c r="I30" s="42"/>
      <c r="J30" s="13"/>
      <c r="K30" s="13"/>
      <c r="L30" s="44"/>
      <c r="M30" s="44"/>
      <c r="N30" s="179"/>
      <c r="O30" s="45"/>
      <c r="P30" s="46"/>
      <c r="Q30" s="179"/>
      <c r="R30" s="43"/>
      <c r="S30" s="179"/>
      <c r="T30" s="198"/>
      <c r="U30" s="198"/>
      <c r="V30" s="198"/>
      <c r="W30" s="198"/>
      <c r="X30" s="167"/>
      <c r="Y30" s="167"/>
      <c r="Z30" s="167"/>
      <c r="AA30" s="167"/>
      <c r="AB30" s="167"/>
      <c r="AC30" s="167"/>
      <c r="AD30" s="167"/>
      <c r="AE30" s="167"/>
      <c r="AF30" s="167"/>
      <c r="AG30" s="168"/>
      <c r="AH30" s="168"/>
      <c r="AI30" s="168"/>
      <c r="AJ30" s="167"/>
      <c r="AK30" s="167"/>
      <c r="AL30" s="167"/>
      <c r="AM30" s="167"/>
      <c r="AN30" s="167"/>
      <c r="AO30" s="167"/>
      <c r="AP30" s="169"/>
      <c r="AQ30" s="167"/>
      <c r="AR30" s="169"/>
      <c r="AS30" s="167"/>
      <c r="AT30" s="168"/>
      <c r="AU30" s="168"/>
      <c r="AV30" s="168"/>
      <c r="AW30" s="168"/>
      <c r="AX30" s="168"/>
      <c r="AY30" s="166"/>
      <c r="AZ30" s="166"/>
      <c r="BA30" s="167"/>
      <c r="BB30" s="167"/>
      <c r="BC30" s="167"/>
      <c r="BD30" s="167"/>
      <c r="BE30" s="167"/>
      <c r="BH30" s="167"/>
      <c r="BM30" s="170"/>
    </row>
    <row r="31" spans="4:65" s="165" customFormat="1" ht="18" customHeight="1">
      <c r="D31" s="4" t="s">
        <v>91</v>
      </c>
      <c r="E31" s="4"/>
      <c r="F31" s="76"/>
      <c r="G31" s="48"/>
      <c r="H31" s="49"/>
      <c r="I31" s="42"/>
      <c r="J31" s="13"/>
      <c r="K31" s="13"/>
      <c r="L31" s="44"/>
      <c r="M31" s="44"/>
      <c r="N31" s="179"/>
      <c r="O31" s="45"/>
      <c r="P31" s="46"/>
      <c r="Q31" s="179"/>
      <c r="R31" s="43"/>
      <c r="S31" s="179"/>
      <c r="T31" s="166"/>
      <c r="W31" s="166"/>
      <c r="X31" s="167"/>
      <c r="Y31" s="167"/>
      <c r="Z31" s="167"/>
      <c r="AA31" s="167"/>
      <c r="AB31" s="167"/>
      <c r="AC31" s="167"/>
      <c r="AD31" s="167"/>
      <c r="AE31" s="167"/>
      <c r="AF31" s="167"/>
      <c r="AG31" s="168"/>
      <c r="AH31" s="168"/>
      <c r="AI31" s="168"/>
      <c r="AJ31" s="167"/>
      <c r="AK31" s="167"/>
      <c r="AL31" s="167"/>
      <c r="AM31" s="167"/>
      <c r="AN31" s="167"/>
      <c r="AO31" s="167"/>
      <c r="AP31" s="169"/>
      <c r="AQ31" s="167"/>
      <c r="AR31" s="169"/>
      <c r="AS31" s="167"/>
      <c r="AT31" s="168"/>
      <c r="AU31" s="168"/>
      <c r="AV31" s="168"/>
      <c r="AW31" s="168"/>
      <c r="AX31" s="168"/>
      <c r="AY31" s="166"/>
      <c r="AZ31" s="166"/>
      <c r="BA31" s="167"/>
      <c r="BB31" s="167"/>
      <c r="BC31" s="167"/>
      <c r="BD31" s="167"/>
      <c r="BE31" s="167"/>
      <c r="BH31" s="167"/>
      <c r="BM31" s="170"/>
    </row>
    <row r="32" spans="4:65" s="165" customFormat="1" ht="18" customHeight="1">
      <c r="D32" s="4" t="s">
        <v>113</v>
      </c>
      <c r="E32" s="4"/>
      <c r="F32" s="76"/>
      <c r="G32" s="48"/>
      <c r="H32" s="49"/>
      <c r="I32" s="42"/>
      <c r="J32" s="13"/>
      <c r="K32" s="13"/>
      <c r="L32" s="44"/>
      <c r="M32" s="44"/>
      <c r="N32" s="179"/>
      <c r="O32" s="45"/>
      <c r="P32" s="46"/>
      <c r="Q32" s="179"/>
      <c r="R32" s="43"/>
      <c r="S32" s="179"/>
      <c r="T32" s="166"/>
      <c r="W32" s="166"/>
      <c r="X32" s="167"/>
      <c r="Y32" s="167"/>
      <c r="Z32" s="167"/>
      <c r="AA32" s="167"/>
      <c r="AB32" s="167"/>
      <c r="AC32" s="167"/>
      <c r="AD32" s="167"/>
      <c r="AE32" s="167"/>
      <c r="AF32" s="167"/>
      <c r="AG32" s="168"/>
      <c r="AH32" s="168"/>
      <c r="AI32" s="168"/>
      <c r="AJ32" s="167"/>
      <c r="AK32" s="167"/>
      <c r="AL32" s="167"/>
      <c r="AM32" s="167"/>
      <c r="AN32" s="167"/>
      <c r="AO32" s="167"/>
      <c r="AP32" s="169"/>
      <c r="AQ32" s="167"/>
      <c r="AR32" s="169"/>
      <c r="AS32" s="167"/>
      <c r="AT32" s="168"/>
      <c r="AU32" s="168"/>
      <c r="AV32" s="168"/>
      <c r="AW32" s="168"/>
      <c r="AX32" s="168"/>
      <c r="AY32" s="166"/>
      <c r="AZ32" s="166"/>
      <c r="BA32" s="167"/>
      <c r="BB32" s="167"/>
      <c r="BC32" s="167"/>
      <c r="BD32" s="167"/>
      <c r="BE32" s="167"/>
      <c r="BH32" s="167"/>
      <c r="BM32" s="170"/>
    </row>
    <row r="33" spans="4:65" s="165" customFormat="1" ht="18.75" customHeight="1">
      <c r="D33" s="222" t="s">
        <v>201</v>
      </c>
      <c r="E33" s="4"/>
      <c r="F33" s="76"/>
      <c r="G33" s="48"/>
      <c r="H33" s="49"/>
      <c r="I33" s="42"/>
      <c r="J33" s="13"/>
      <c r="K33" s="13"/>
      <c r="L33" s="44"/>
      <c r="M33" s="44"/>
      <c r="N33" s="179"/>
      <c r="O33" s="45"/>
      <c r="P33" s="46"/>
      <c r="Q33" s="179"/>
      <c r="R33" s="43"/>
      <c r="S33" s="179"/>
      <c r="T33" s="166"/>
      <c r="W33" s="166"/>
      <c r="X33" s="167"/>
      <c r="Y33" s="167"/>
      <c r="Z33" s="167"/>
      <c r="AA33" s="167"/>
      <c r="AB33" s="167"/>
      <c r="AC33" s="167"/>
      <c r="AD33" s="167"/>
      <c r="AE33" s="167"/>
      <c r="AF33" s="167"/>
      <c r="AG33" s="168"/>
      <c r="AH33" s="168"/>
      <c r="AI33" s="168"/>
      <c r="AJ33" s="167"/>
      <c r="AK33" s="167"/>
      <c r="AL33" s="167"/>
      <c r="AM33" s="167"/>
      <c r="AN33" s="167"/>
      <c r="AO33" s="167"/>
      <c r="AP33" s="169"/>
      <c r="AQ33" s="167"/>
      <c r="AR33" s="169"/>
      <c r="AS33" s="167"/>
      <c r="AT33" s="168"/>
      <c r="AU33" s="168"/>
      <c r="AV33" s="168"/>
      <c r="AW33" s="168"/>
      <c r="AX33" s="168"/>
      <c r="AY33" s="166"/>
      <c r="AZ33" s="166"/>
      <c r="BA33" s="167"/>
      <c r="BB33" s="167"/>
      <c r="BC33" s="167"/>
      <c r="BD33" s="167"/>
      <c r="BE33" s="167"/>
      <c r="BH33" s="167"/>
      <c r="BM33" s="170"/>
    </row>
    <row r="34" spans="4:65" s="165" customFormat="1" ht="9" customHeight="1"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166"/>
      <c r="W34" s="166"/>
      <c r="X34" s="167"/>
      <c r="Y34" s="167"/>
      <c r="Z34" s="167"/>
      <c r="AA34" s="167"/>
      <c r="AB34" s="167"/>
      <c r="AC34" s="167"/>
      <c r="AD34" s="167"/>
      <c r="AE34" s="167"/>
      <c r="AF34" s="167"/>
      <c r="AG34" s="168"/>
      <c r="AH34" s="168"/>
      <c r="AI34" s="168"/>
      <c r="AJ34" s="167"/>
      <c r="AK34" s="167"/>
      <c r="AL34" s="167"/>
      <c r="AM34" s="167"/>
      <c r="AN34" s="167"/>
      <c r="AO34" s="167"/>
      <c r="AP34" s="169"/>
      <c r="AQ34" s="167"/>
      <c r="AR34" s="169"/>
      <c r="AS34" s="167"/>
      <c r="AT34" s="168"/>
      <c r="AU34" s="168"/>
      <c r="AV34" s="168"/>
      <c r="AW34" s="168"/>
      <c r="AX34" s="168"/>
      <c r="AY34" s="166"/>
      <c r="AZ34" s="166"/>
      <c r="BA34" s="167"/>
      <c r="BB34" s="167"/>
      <c r="BC34" s="167"/>
      <c r="BD34" s="167"/>
      <c r="BE34" s="167"/>
      <c r="BH34" s="167"/>
      <c r="BM34" s="170"/>
    </row>
    <row r="35" spans="4:65" s="4" customFormat="1" ht="6.75" customHeight="1" thickBot="1"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3"/>
      <c r="W35" s="3"/>
      <c r="X35" s="12"/>
      <c r="Y35" s="12"/>
      <c r="Z35" s="12"/>
      <c r="AA35" s="12"/>
      <c r="AB35" s="12"/>
      <c r="AC35" s="12"/>
      <c r="AD35" s="12"/>
      <c r="AE35" s="12"/>
      <c r="AF35" s="12"/>
      <c r="AG35" s="13"/>
      <c r="AH35" s="13"/>
      <c r="AI35" s="13"/>
      <c r="AJ35" s="12"/>
      <c r="AK35" s="12"/>
      <c r="AL35" s="12"/>
      <c r="AM35" s="12"/>
      <c r="AN35" s="12"/>
      <c r="AO35" s="12"/>
      <c r="AP35" s="65"/>
      <c r="AQ35" s="12"/>
      <c r="AR35" s="65"/>
      <c r="AS35" s="12"/>
      <c r="AT35" s="13"/>
      <c r="AU35" s="13"/>
      <c r="AV35" s="13"/>
      <c r="AW35" s="13"/>
      <c r="AX35" s="13"/>
      <c r="AY35" s="3"/>
      <c r="AZ35" s="3"/>
      <c r="BA35" s="12"/>
      <c r="BB35" s="12"/>
      <c r="BC35" s="12"/>
      <c r="BD35" s="12"/>
      <c r="BE35" s="12"/>
      <c r="BH35" s="12"/>
      <c r="BM35" s="14"/>
    </row>
    <row r="36" spans="4:19" ht="18" customHeight="1" thickBot="1" thickTop="1">
      <c r="D36" s="193" t="s">
        <v>86</v>
      </c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5"/>
    </row>
    <row r="37" spans="4:61" ht="18" customHeight="1">
      <c r="D37" s="131"/>
      <c r="E37" s="132"/>
      <c r="F37" s="120" t="s">
        <v>121</v>
      </c>
      <c r="G37" s="121" t="s">
        <v>125</v>
      </c>
      <c r="H37" s="133" t="s">
        <v>66</v>
      </c>
      <c r="I37" s="134" t="s">
        <v>126</v>
      </c>
      <c r="J37" s="229" t="s">
        <v>126</v>
      </c>
      <c r="K37" s="230"/>
      <c r="L37" s="231" t="s">
        <v>4</v>
      </c>
      <c r="M37" s="232"/>
      <c r="N37" s="233"/>
      <c r="O37" s="234" t="s">
        <v>167</v>
      </c>
      <c r="P37" s="235"/>
      <c r="Q37" s="236"/>
      <c r="R37" s="237" t="s">
        <v>1</v>
      </c>
      <c r="S37" s="238"/>
      <c r="T37" s="1"/>
      <c r="W37" s="1"/>
      <c r="X37" s="23" t="s">
        <v>62</v>
      </c>
      <c r="Y37" s="23" t="s">
        <v>62</v>
      </c>
      <c r="Z37" s="23" t="s">
        <v>62</v>
      </c>
      <c r="AA37" s="23" t="s">
        <v>63</v>
      </c>
      <c r="AB37" s="23"/>
      <c r="AC37" s="23" t="s">
        <v>63</v>
      </c>
      <c r="AD37" s="23"/>
      <c r="AE37" s="23" t="s">
        <v>63</v>
      </c>
      <c r="AF37" s="23"/>
      <c r="AG37" s="24" t="s">
        <v>64</v>
      </c>
      <c r="AH37" s="24" t="s">
        <v>64</v>
      </c>
      <c r="AI37" s="24" t="s">
        <v>64</v>
      </c>
      <c r="AJ37" s="135" t="s">
        <v>41</v>
      </c>
      <c r="AK37" s="26"/>
      <c r="AL37" s="135" t="s">
        <v>225</v>
      </c>
      <c r="AM37" s="26"/>
      <c r="AN37" s="135" t="s">
        <v>146</v>
      </c>
      <c r="AO37" s="26"/>
      <c r="AP37" s="67">
        <v>2009</v>
      </c>
      <c r="AQ37" s="23" t="s">
        <v>147</v>
      </c>
      <c r="AR37" s="67">
        <v>2010</v>
      </c>
      <c r="AS37" s="23" t="s">
        <v>148</v>
      </c>
      <c r="AT37" s="239" t="s">
        <v>31</v>
      </c>
      <c r="AU37" s="240"/>
      <c r="AV37" s="241"/>
      <c r="AW37" s="242" t="s">
        <v>32</v>
      </c>
      <c r="AX37" s="243"/>
      <c r="AY37" s="244"/>
      <c r="AZ37" s="13" t="s">
        <v>195</v>
      </c>
      <c r="BA37" s="136">
        <v>2011</v>
      </c>
      <c r="BB37" s="136">
        <v>2011</v>
      </c>
      <c r="BC37" s="136">
        <v>2011</v>
      </c>
      <c r="BD37" s="136">
        <v>2011</v>
      </c>
      <c r="BE37" s="136">
        <v>2011</v>
      </c>
      <c r="BF37" s="136">
        <v>2010</v>
      </c>
      <c r="BG37" s="136">
        <v>2010</v>
      </c>
      <c r="BH37" s="136">
        <v>2010</v>
      </c>
      <c r="BI37" s="136">
        <v>2010</v>
      </c>
    </row>
    <row r="38" spans="4:65" ht="16.5" customHeight="1" thickBot="1">
      <c r="D38" s="137" t="s">
        <v>151</v>
      </c>
      <c r="E38" s="138" t="s">
        <v>152</v>
      </c>
      <c r="F38" s="123" t="s">
        <v>153</v>
      </c>
      <c r="G38" s="124" t="s">
        <v>154</v>
      </c>
      <c r="H38" s="139" t="s">
        <v>155</v>
      </c>
      <c r="I38" s="140">
        <v>2003</v>
      </c>
      <c r="J38" s="126">
        <f>$Y$38</f>
        <v>2010</v>
      </c>
      <c r="K38" s="127">
        <f>$Z$38</f>
        <v>2011</v>
      </c>
      <c r="L38" s="128">
        <f>$Y$38</f>
        <v>2010</v>
      </c>
      <c r="M38" s="129">
        <f>$Z$38</f>
        <v>2011</v>
      </c>
      <c r="N38" s="187" t="s">
        <v>161</v>
      </c>
      <c r="O38" s="141">
        <f>$Y$38</f>
        <v>2010</v>
      </c>
      <c r="P38" s="142">
        <f>$Z$38</f>
        <v>2011</v>
      </c>
      <c r="Q38" s="173" t="s">
        <v>161</v>
      </c>
      <c r="R38" s="130" t="s">
        <v>156</v>
      </c>
      <c r="S38" s="182" t="s">
        <v>161</v>
      </c>
      <c r="X38" s="143">
        <v>2009</v>
      </c>
      <c r="Y38" s="143">
        <v>2010</v>
      </c>
      <c r="Z38" s="143">
        <v>2011</v>
      </c>
      <c r="AA38" s="26">
        <v>2009</v>
      </c>
      <c r="AB38" s="26" t="s">
        <v>84</v>
      </c>
      <c r="AC38" s="26">
        <v>2010</v>
      </c>
      <c r="AD38" s="26" t="s">
        <v>224</v>
      </c>
      <c r="AE38" s="26">
        <v>2011</v>
      </c>
      <c r="AF38" s="26" t="s">
        <v>145</v>
      </c>
      <c r="AG38" s="143">
        <v>2009</v>
      </c>
      <c r="AH38" s="143">
        <v>2010</v>
      </c>
      <c r="AI38" s="143">
        <v>2011</v>
      </c>
      <c r="AJ38" s="26" t="s">
        <v>165</v>
      </c>
      <c r="AK38" s="26" t="s">
        <v>65</v>
      </c>
      <c r="AL38" s="26" t="s">
        <v>165</v>
      </c>
      <c r="AM38" s="26" t="s">
        <v>65</v>
      </c>
      <c r="AN38" s="26" t="s">
        <v>165</v>
      </c>
      <c r="AO38" s="26" t="s">
        <v>65</v>
      </c>
      <c r="AP38" s="67" t="s">
        <v>65</v>
      </c>
      <c r="AQ38" s="23" t="s">
        <v>226</v>
      </c>
      <c r="AR38" s="67" t="s">
        <v>65</v>
      </c>
      <c r="AS38" s="23" t="s">
        <v>227</v>
      </c>
      <c r="AT38" s="28" t="s">
        <v>66</v>
      </c>
      <c r="AU38" s="28" t="s">
        <v>63</v>
      </c>
      <c r="AV38" s="28" t="s">
        <v>64</v>
      </c>
      <c r="AW38" s="24" t="s">
        <v>66</v>
      </c>
      <c r="AX38" s="24" t="s">
        <v>63</v>
      </c>
      <c r="AY38" s="24" t="s">
        <v>67</v>
      </c>
      <c r="AZ38" s="13" t="s">
        <v>196</v>
      </c>
      <c r="BA38" s="5" t="s">
        <v>162</v>
      </c>
      <c r="BB38" s="5" t="s">
        <v>153</v>
      </c>
      <c r="BC38" s="5" t="s">
        <v>163</v>
      </c>
      <c r="BD38" s="5" t="s">
        <v>237</v>
      </c>
      <c r="BE38" s="5" t="s">
        <v>117</v>
      </c>
      <c r="BF38" s="5" t="s">
        <v>162</v>
      </c>
      <c r="BG38" s="5" t="s">
        <v>238</v>
      </c>
      <c r="BH38" s="5" t="s">
        <v>163</v>
      </c>
      <c r="BI38" s="1" t="s">
        <v>239</v>
      </c>
      <c r="BK38" s="1" t="s">
        <v>118</v>
      </c>
      <c r="BL38" s="1" t="s">
        <v>119</v>
      </c>
      <c r="BM38" s="7" t="s">
        <v>120</v>
      </c>
    </row>
    <row r="39" spans="4:52" ht="3.75" customHeight="1" thickBot="1">
      <c r="D39" s="53"/>
      <c r="E39" s="144"/>
      <c r="F39" s="74"/>
      <c r="G39" s="55"/>
      <c r="H39" s="56"/>
      <c r="I39" s="57"/>
      <c r="J39" s="58"/>
      <c r="K39" s="59"/>
      <c r="L39" s="60"/>
      <c r="M39" s="61"/>
      <c r="N39" s="174"/>
      <c r="O39" s="62"/>
      <c r="P39" s="63"/>
      <c r="Q39" s="174"/>
      <c r="R39" s="64"/>
      <c r="S39" s="174"/>
      <c r="X39" s="145"/>
      <c r="Y39" s="145"/>
      <c r="Z39" s="145"/>
      <c r="AA39" s="145"/>
      <c r="AB39" s="145"/>
      <c r="AC39" s="145"/>
      <c r="AD39" s="145"/>
      <c r="AE39" s="145"/>
      <c r="AF39" s="145"/>
      <c r="AG39" s="146"/>
      <c r="AH39" s="146"/>
      <c r="AI39" s="146"/>
      <c r="AJ39" s="145"/>
      <c r="AK39" s="145"/>
      <c r="AL39" s="145"/>
      <c r="AM39" s="145"/>
      <c r="AN39" s="145"/>
      <c r="AO39" s="145"/>
      <c r="AP39" s="147"/>
      <c r="AQ39" s="145"/>
      <c r="AR39" s="147"/>
      <c r="AS39" s="145"/>
      <c r="AT39" s="146"/>
      <c r="AU39" s="146"/>
      <c r="AV39" s="146"/>
      <c r="AW39" s="146"/>
      <c r="AX39" s="146"/>
      <c r="AY39" s="146"/>
      <c r="AZ39" s="148"/>
    </row>
    <row r="40" spans="2:66" ht="15.75" customHeight="1">
      <c r="B40" s="4" t="s">
        <v>12</v>
      </c>
      <c r="C40" s="29" t="s">
        <v>94</v>
      </c>
      <c r="D40" s="159" t="s">
        <v>70</v>
      </c>
      <c r="E40" s="158" t="s">
        <v>71</v>
      </c>
      <c r="F40" s="79">
        <f aca="true" t="shared" si="14" ref="F40:F47">IF($J$11&gt;0,$J$11,$M$11)</f>
        <v>52272</v>
      </c>
      <c r="G40" s="80">
        <f aca="true" t="shared" si="15" ref="G40:G47">$K$11</f>
        <v>40</v>
      </c>
      <c r="H40" s="149">
        <f aca="true" t="shared" si="16" ref="H40:H47">$L$11</f>
        <v>4</v>
      </c>
      <c r="I40" s="150">
        <f aca="true" t="shared" si="17" ref="I40:I47">IF(AK40="","",IF($F40&gt;0,($F40/$AK40)*AG40,IF($G40&gt;0,(((43560/($G40/12))*$H40)/$AK40)*AG40,0)))</f>
        <v>42.91531199999999</v>
      </c>
      <c r="J40" s="83">
        <f aca="true" t="shared" si="18" ref="J40:J47">BI40</f>
        <v>38.895120000000006</v>
      </c>
      <c r="K40" s="84">
        <f aca="true" t="shared" si="19" ref="K40:K47">BD40</f>
        <v>42.45912</v>
      </c>
      <c r="L40" s="151">
        <f aca="true" t="shared" si="20" ref="L40:L47">BG40</f>
        <v>21.384</v>
      </c>
      <c r="M40" s="152">
        <f aca="true" t="shared" si="21" ref="M40:M47">BB40</f>
        <v>24.948</v>
      </c>
      <c r="N40" s="188">
        <f aca="true" t="shared" si="22" ref="N40:N47">IF(R40="New","New",(M40/L40)-1)</f>
        <v>0.16666666666666674</v>
      </c>
      <c r="O40" s="153">
        <f aca="true" t="shared" si="23" ref="O40:O47">IF(AW40="","",BH40)</f>
        <v>17.511120000000002</v>
      </c>
      <c r="P40" s="154">
        <f aca="true" t="shared" si="24" ref="P40:P47">IF(BC40="","",BC40)</f>
        <v>17.511120000000002</v>
      </c>
      <c r="Q40" s="176">
        <f aca="true" t="shared" si="25" ref="Q40:Q47">IF(R40="New","New",IF(AX40="","",(P40/O40)-1))</f>
        <v>0</v>
      </c>
      <c r="R40" s="100">
        <f aca="true" t="shared" si="26" ref="R40:R47">IF(J40="","New",IF(J40=0,"New",K40-J40))</f>
        <v>3.563999999999993</v>
      </c>
      <c r="S40" s="184">
        <f aca="true" t="shared" si="27" ref="S40:S47">IF(R40="New","",R40/J40)</f>
        <v>0.09163103237629791</v>
      </c>
      <c r="U40" s="207" t="s">
        <v>94</v>
      </c>
      <c r="V40" s="4" t="s">
        <v>12</v>
      </c>
      <c r="X40" s="162">
        <v>98</v>
      </c>
      <c r="Y40" s="162">
        <v>90</v>
      </c>
      <c r="Z40" s="162">
        <v>105</v>
      </c>
      <c r="AA40" s="31">
        <v>66.2</v>
      </c>
      <c r="AB40" s="31"/>
      <c r="AC40" s="31">
        <v>73.7</v>
      </c>
      <c r="AD40" s="31"/>
      <c r="AE40" s="31">
        <v>73.7</v>
      </c>
      <c r="AF40" s="31"/>
      <c r="AG40" s="32">
        <f aca="true" t="shared" si="28" ref="AG40:AG47">X40+(AA40+AB40)</f>
        <v>164.2</v>
      </c>
      <c r="AH40" s="32">
        <f aca="true" t="shared" si="29" ref="AH40:AH47">Y40+(AC40+AD40)</f>
        <v>163.7</v>
      </c>
      <c r="AI40" s="32">
        <f aca="true" t="shared" si="30" ref="AI40:AI47">Z40+(AE40+AF40)</f>
        <v>178.7</v>
      </c>
      <c r="AJ40" s="33"/>
      <c r="AK40" s="33">
        <v>200000</v>
      </c>
      <c r="AL40" s="33"/>
      <c r="AM40" s="33">
        <v>220000</v>
      </c>
      <c r="AN40" s="33"/>
      <c r="AO40" s="33">
        <v>220000</v>
      </c>
      <c r="AP40" s="67">
        <f aca="true" t="shared" si="31" ref="AP40:AP47">AK40</f>
        <v>200000</v>
      </c>
      <c r="AQ40" s="34">
        <f aca="true" t="shared" si="32" ref="AQ40:AQ47">IF(AK40&gt;0,AM40/AK40*100,"Not Avail.")</f>
        <v>110.00000000000001</v>
      </c>
      <c r="AR40" s="67">
        <f aca="true" t="shared" si="33" ref="AR40:AR47">AM40</f>
        <v>220000</v>
      </c>
      <c r="AS40" s="34">
        <f aca="true" t="shared" si="34" ref="AS40:AS47">IF(AM40&gt;0,AO40/AM40*100,"Not Avail.")</f>
        <v>100</v>
      </c>
      <c r="AT40" s="28">
        <f aca="true" t="shared" si="35" ref="AT40:AT47">IF(Y40="","",Y40/AS40*100)</f>
        <v>90</v>
      </c>
      <c r="AU40" s="28">
        <f aca="true" t="shared" si="36" ref="AU40:AU47">IF(AC40="","",((AC40+AD40)/AS40*100))</f>
        <v>73.7</v>
      </c>
      <c r="AV40" s="28">
        <f aca="true" t="shared" si="37" ref="AV40:AV47">IF(AT40="","",SUM(AT40:AU40))</f>
        <v>163.7</v>
      </c>
      <c r="AW40" s="24">
        <f aca="true" t="shared" si="38" ref="AW40:AW47">IF(AT40="","",Z40-AT40)</f>
        <v>15</v>
      </c>
      <c r="AX40" s="24">
        <f aca="true" t="shared" si="39" ref="AX40:AX47">IF(AU40="","",(AE40+AF40)-AU40)</f>
        <v>0</v>
      </c>
      <c r="AY40" s="24">
        <f aca="true" t="shared" si="40" ref="AY40:AY47">IF(AH40&gt;0,AI40-AV40,"New")</f>
        <v>15</v>
      </c>
      <c r="AZ40" s="156">
        <f aca="true" t="shared" si="41" ref="AZ40:AZ47">F40</f>
        <v>52272</v>
      </c>
      <c r="BA40" s="35">
        <f aca="true" t="shared" si="42" ref="BA40:BA47">IF($F40&gt;0,($F40/$AO40),IF($G40&gt;0,(((43560/($G40/12))*$H40)/$AO40),0))</f>
        <v>0.2376</v>
      </c>
      <c r="BB40" s="35">
        <f aca="true" t="shared" si="43" ref="BB40:BB47">Z40/(1/BA40)</f>
        <v>24.948</v>
      </c>
      <c r="BC40" s="36">
        <f aca="true" t="shared" si="44" ref="BC40:BC47">((AE40+AF40)/(1/BA40))</f>
        <v>17.511120000000002</v>
      </c>
      <c r="BD40" s="36">
        <f aca="true" t="shared" si="45" ref="BD40:BD47">BB40+BC40</f>
        <v>42.45912</v>
      </c>
      <c r="BE40" s="36" t="str">
        <f aca="true" t="shared" si="46" ref="BE40:BE47">IF(BD40=K40,"yes","no")</f>
        <v>yes</v>
      </c>
      <c r="BF40" s="37">
        <f aca="true" t="shared" si="47" ref="BF40:BF47">IF(AM40="","",IF($F40&gt;0,($F40/AM40),IF($G40&gt;0,((((43560/($G40/12))*$H40)/$AM40)),0)))</f>
        <v>0.2376</v>
      </c>
      <c r="BG40" s="37">
        <f aca="true" t="shared" si="48" ref="BG40:BG47">IF(Y40="","",Y40/(1/BF40))</f>
        <v>21.384</v>
      </c>
      <c r="BH40" s="36">
        <f aca="true" t="shared" si="49" ref="BH40:BH47">((AC40+AD40)/(1/BF40))</f>
        <v>17.511120000000002</v>
      </c>
      <c r="BI40" s="38">
        <f aca="true" t="shared" si="50" ref="BI40:BI47">SUM(BG40:BH40)</f>
        <v>38.895120000000006</v>
      </c>
      <c r="BJ40" s="1" t="str">
        <f aca="true" t="shared" si="51" ref="BJ40:BJ47">IF(J40=BI40,"yes","no")</f>
        <v>yes</v>
      </c>
      <c r="BK40" s="37">
        <f aca="true" t="shared" si="52" ref="BK40:BL47">IF(BG40="","",IF(BG40=0,"",BB40-BG40))</f>
        <v>3.564</v>
      </c>
      <c r="BL40" s="37">
        <f t="shared" si="52"/>
        <v>0</v>
      </c>
      <c r="BM40" s="7">
        <f aca="true" t="shared" si="53" ref="BM40:BM47">IF(BK40="","",BD40-BI40)</f>
        <v>3.563999999999993</v>
      </c>
      <c r="BN40" s="7">
        <f aca="true" t="shared" si="54" ref="BN40:BN47">R40-BM40</f>
        <v>0</v>
      </c>
    </row>
    <row r="41" spans="2:66" ht="15.75" customHeight="1">
      <c r="B41" s="4" t="s">
        <v>12</v>
      </c>
      <c r="C41" s="29" t="s">
        <v>142</v>
      </c>
      <c r="D41" s="159" t="s">
        <v>184</v>
      </c>
      <c r="E41" s="158" t="s">
        <v>194</v>
      </c>
      <c r="F41" s="79">
        <f t="shared" si="14"/>
        <v>52272</v>
      </c>
      <c r="G41" s="80">
        <f t="shared" si="15"/>
        <v>40</v>
      </c>
      <c r="H41" s="149">
        <f t="shared" si="16"/>
        <v>4</v>
      </c>
      <c r="I41" s="150">
        <f t="shared" si="17"/>
        <v>35.45405217391304</v>
      </c>
      <c r="J41" s="83">
        <f t="shared" si="18"/>
        <v>37.272208695652175</v>
      </c>
      <c r="K41" s="84">
        <f t="shared" si="19"/>
        <v>41.363060869565224</v>
      </c>
      <c r="L41" s="151">
        <f t="shared" si="20"/>
        <v>28.181426086956524</v>
      </c>
      <c r="M41" s="152">
        <f t="shared" si="21"/>
        <v>32.27227826086957</v>
      </c>
      <c r="N41" s="188">
        <f t="shared" si="22"/>
        <v>0.14516129032258074</v>
      </c>
      <c r="O41" s="153">
        <f t="shared" si="23"/>
        <v>9.090782608695653</v>
      </c>
      <c r="P41" s="154">
        <f t="shared" si="24"/>
        <v>9.090782608695653</v>
      </c>
      <c r="Q41" s="176">
        <f t="shared" si="25"/>
      </c>
      <c r="R41" s="100">
        <f t="shared" si="26"/>
        <v>4.090852173913049</v>
      </c>
      <c r="S41" s="184">
        <f t="shared" si="27"/>
        <v>0.10975609756097576</v>
      </c>
      <c r="U41" s="207" t="s">
        <v>240</v>
      </c>
      <c r="V41" s="4" t="s">
        <v>12</v>
      </c>
      <c r="X41" s="155">
        <v>116</v>
      </c>
      <c r="Y41" s="155">
        <v>124</v>
      </c>
      <c r="Z41" s="155">
        <v>142</v>
      </c>
      <c r="AA41" s="155"/>
      <c r="AB41" s="155">
        <v>40</v>
      </c>
      <c r="AC41" s="155"/>
      <c r="AD41" s="155">
        <v>40</v>
      </c>
      <c r="AE41" s="155"/>
      <c r="AF41" s="155">
        <v>40</v>
      </c>
      <c r="AG41" s="32">
        <f t="shared" si="28"/>
        <v>156</v>
      </c>
      <c r="AH41" s="32">
        <f t="shared" si="29"/>
        <v>164</v>
      </c>
      <c r="AI41" s="32">
        <f t="shared" si="30"/>
        <v>182</v>
      </c>
      <c r="AJ41" s="33"/>
      <c r="AK41" s="26">
        <v>230000</v>
      </c>
      <c r="AL41" s="33"/>
      <c r="AM41" s="26">
        <v>230000</v>
      </c>
      <c r="AN41" s="33"/>
      <c r="AO41" s="26">
        <v>230000</v>
      </c>
      <c r="AP41" s="67">
        <f t="shared" si="31"/>
        <v>230000</v>
      </c>
      <c r="AQ41" s="34">
        <f t="shared" si="32"/>
        <v>100</v>
      </c>
      <c r="AR41" s="67">
        <f t="shared" si="33"/>
        <v>230000</v>
      </c>
      <c r="AS41" s="34">
        <f t="shared" si="34"/>
        <v>100</v>
      </c>
      <c r="AT41" s="28">
        <f t="shared" si="35"/>
        <v>124</v>
      </c>
      <c r="AU41" s="28">
        <f t="shared" si="36"/>
      </c>
      <c r="AV41" s="28">
        <f t="shared" si="37"/>
        <v>124</v>
      </c>
      <c r="AW41" s="24">
        <f t="shared" si="38"/>
        <v>18</v>
      </c>
      <c r="AX41" s="24">
        <f t="shared" si="39"/>
      </c>
      <c r="AY41" s="24">
        <f t="shared" si="40"/>
        <v>58</v>
      </c>
      <c r="AZ41" s="156">
        <f t="shared" si="41"/>
        <v>52272</v>
      </c>
      <c r="BA41" s="35">
        <f t="shared" si="42"/>
        <v>0.2272695652173913</v>
      </c>
      <c r="BB41" s="35">
        <f t="shared" si="43"/>
        <v>32.27227826086957</v>
      </c>
      <c r="BC41" s="36">
        <f t="shared" si="44"/>
        <v>9.090782608695653</v>
      </c>
      <c r="BD41" s="36">
        <f t="shared" si="45"/>
        <v>41.363060869565224</v>
      </c>
      <c r="BE41" s="36" t="str">
        <f t="shared" si="46"/>
        <v>yes</v>
      </c>
      <c r="BF41" s="37">
        <f t="shared" si="47"/>
        <v>0.2272695652173913</v>
      </c>
      <c r="BG41" s="37">
        <f t="shared" si="48"/>
        <v>28.181426086956524</v>
      </c>
      <c r="BH41" s="36">
        <f t="shared" si="49"/>
        <v>9.090782608695653</v>
      </c>
      <c r="BI41" s="38">
        <f t="shared" si="50"/>
        <v>37.272208695652175</v>
      </c>
      <c r="BJ41" s="1" t="str">
        <f t="shared" si="51"/>
        <v>yes</v>
      </c>
      <c r="BK41" s="37">
        <f t="shared" si="52"/>
        <v>4.090852173913046</v>
      </c>
      <c r="BL41" s="37">
        <f t="shared" si="52"/>
        <v>0</v>
      </c>
      <c r="BM41" s="7">
        <f t="shared" si="53"/>
        <v>4.090852173913049</v>
      </c>
      <c r="BN41" s="7">
        <f t="shared" si="54"/>
        <v>0</v>
      </c>
    </row>
    <row r="42" spans="3:66" ht="15.75" customHeight="1">
      <c r="C42" s="29"/>
      <c r="D42" s="159" t="s">
        <v>184</v>
      </c>
      <c r="E42" s="158" t="s">
        <v>172</v>
      </c>
      <c r="F42" s="79">
        <f t="shared" si="14"/>
        <v>52272</v>
      </c>
      <c r="G42" s="80">
        <f t="shared" si="15"/>
        <v>40</v>
      </c>
      <c r="H42" s="149">
        <f t="shared" si="16"/>
        <v>4</v>
      </c>
      <c r="I42" s="150">
        <f t="shared" si="17"/>
        <v>0</v>
      </c>
      <c r="J42" s="83">
        <f t="shared" si="18"/>
        <v>71.77172869565217</v>
      </c>
      <c r="K42" s="84">
        <f t="shared" si="19"/>
        <v>73.58988521739131</v>
      </c>
      <c r="L42" s="151">
        <f t="shared" si="20"/>
        <v>30.454121739130436</v>
      </c>
      <c r="M42" s="152">
        <f t="shared" si="21"/>
        <v>32.27227826086957</v>
      </c>
      <c r="N42" s="188">
        <f t="shared" si="22"/>
        <v>0.059701492537313605</v>
      </c>
      <c r="O42" s="153">
        <f t="shared" si="23"/>
        <v>41.31760695652174</v>
      </c>
      <c r="P42" s="154">
        <f t="shared" si="24"/>
        <v>41.31760695652174</v>
      </c>
      <c r="Q42" s="176">
        <f t="shared" si="25"/>
        <v>0</v>
      </c>
      <c r="R42" s="100">
        <f t="shared" si="26"/>
        <v>1.8181565217391409</v>
      </c>
      <c r="S42" s="184">
        <f t="shared" si="27"/>
        <v>0.025332488917036246</v>
      </c>
      <c r="U42" s="207" t="s">
        <v>110</v>
      </c>
      <c r="V42" s="4" t="s">
        <v>12</v>
      </c>
      <c r="X42" s="155"/>
      <c r="Y42" s="155">
        <v>134</v>
      </c>
      <c r="Z42" s="155">
        <v>142</v>
      </c>
      <c r="AA42" s="32"/>
      <c r="AB42" s="155"/>
      <c r="AC42" s="155">
        <v>141.8</v>
      </c>
      <c r="AD42" s="155">
        <v>40</v>
      </c>
      <c r="AE42" s="155">
        <v>141.8</v>
      </c>
      <c r="AF42" s="155">
        <v>40</v>
      </c>
      <c r="AG42" s="32">
        <f t="shared" si="28"/>
        <v>0</v>
      </c>
      <c r="AH42" s="32">
        <f t="shared" si="29"/>
        <v>315.8</v>
      </c>
      <c r="AI42" s="32">
        <f t="shared" si="30"/>
        <v>323.8</v>
      </c>
      <c r="AJ42" s="33"/>
      <c r="AK42" s="26">
        <v>230000</v>
      </c>
      <c r="AL42" s="33"/>
      <c r="AM42" s="26">
        <v>230000</v>
      </c>
      <c r="AN42" s="33"/>
      <c r="AO42" s="26">
        <v>230000</v>
      </c>
      <c r="AP42" s="67">
        <f t="shared" si="31"/>
        <v>230000</v>
      </c>
      <c r="AQ42" s="34">
        <f t="shared" si="32"/>
        <v>100</v>
      </c>
      <c r="AR42" s="67">
        <f t="shared" si="33"/>
        <v>230000</v>
      </c>
      <c r="AS42" s="34">
        <f t="shared" si="34"/>
        <v>100</v>
      </c>
      <c r="AT42" s="28">
        <f t="shared" si="35"/>
        <v>134</v>
      </c>
      <c r="AU42" s="28">
        <f t="shared" si="36"/>
        <v>181.8</v>
      </c>
      <c r="AV42" s="28">
        <f t="shared" si="37"/>
        <v>315.8</v>
      </c>
      <c r="AW42" s="24">
        <f t="shared" si="38"/>
        <v>8</v>
      </c>
      <c r="AX42" s="24">
        <f t="shared" si="39"/>
        <v>0</v>
      </c>
      <c r="AY42" s="24">
        <f t="shared" si="40"/>
        <v>8</v>
      </c>
      <c r="AZ42" s="156">
        <f t="shared" si="41"/>
        <v>52272</v>
      </c>
      <c r="BA42" s="35">
        <f t="shared" si="42"/>
        <v>0.2272695652173913</v>
      </c>
      <c r="BB42" s="35">
        <f t="shared" si="43"/>
        <v>32.27227826086957</v>
      </c>
      <c r="BC42" s="36">
        <f t="shared" si="44"/>
        <v>41.31760695652174</v>
      </c>
      <c r="BD42" s="36">
        <f t="shared" si="45"/>
        <v>73.58988521739131</v>
      </c>
      <c r="BE42" s="36" t="str">
        <f t="shared" si="46"/>
        <v>yes</v>
      </c>
      <c r="BF42" s="37">
        <f t="shared" si="47"/>
        <v>0.2272695652173913</v>
      </c>
      <c r="BG42" s="37">
        <f t="shared" si="48"/>
        <v>30.454121739130436</v>
      </c>
      <c r="BH42" s="36">
        <f t="shared" si="49"/>
        <v>41.31760695652174</v>
      </c>
      <c r="BI42" s="38">
        <f t="shared" si="50"/>
        <v>71.77172869565217</v>
      </c>
      <c r="BJ42" s="1" t="str">
        <f t="shared" si="51"/>
        <v>yes</v>
      </c>
      <c r="BK42" s="37">
        <f t="shared" si="52"/>
        <v>1.8181565217391338</v>
      </c>
      <c r="BL42" s="37">
        <f t="shared" si="52"/>
        <v>0</v>
      </c>
      <c r="BM42" s="7">
        <f t="shared" si="53"/>
        <v>1.8181565217391409</v>
      </c>
      <c r="BN42" s="7">
        <f t="shared" si="54"/>
        <v>0</v>
      </c>
    </row>
    <row r="43" spans="2:66" ht="15.75" customHeight="1">
      <c r="B43" s="4" t="s">
        <v>12</v>
      </c>
      <c r="C43" s="29" t="s">
        <v>98</v>
      </c>
      <c r="D43" s="159" t="s">
        <v>184</v>
      </c>
      <c r="E43" s="158" t="s">
        <v>115</v>
      </c>
      <c r="F43" s="79">
        <f t="shared" si="14"/>
        <v>52272</v>
      </c>
      <c r="G43" s="80">
        <f t="shared" si="15"/>
        <v>40</v>
      </c>
      <c r="H43" s="149">
        <f t="shared" si="16"/>
        <v>4</v>
      </c>
      <c r="I43" s="150">
        <f t="shared" si="17"/>
        <v>67.68087652173914</v>
      </c>
      <c r="J43" s="83">
        <f t="shared" si="18"/>
        <v>71.77172869565217</v>
      </c>
      <c r="K43" s="84">
        <f t="shared" si="19"/>
        <v>73.58988521739131</v>
      </c>
      <c r="L43" s="151">
        <f t="shared" si="20"/>
        <v>30.454121739130436</v>
      </c>
      <c r="M43" s="152">
        <f t="shared" si="21"/>
        <v>32.27227826086957</v>
      </c>
      <c r="N43" s="188">
        <f t="shared" si="22"/>
        <v>0.059701492537313605</v>
      </c>
      <c r="O43" s="153">
        <f t="shared" si="23"/>
        <v>41.31760695652174</v>
      </c>
      <c r="P43" s="154">
        <f t="shared" si="24"/>
        <v>41.31760695652174</v>
      </c>
      <c r="Q43" s="176">
        <f t="shared" si="25"/>
        <v>0</v>
      </c>
      <c r="R43" s="100">
        <f t="shared" si="26"/>
        <v>1.8181565217391409</v>
      </c>
      <c r="S43" s="184">
        <f t="shared" si="27"/>
        <v>0.025332488917036246</v>
      </c>
      <c r="U43" s="207" t="s">
        <v>98</v>
      </c>
      <c r="V43" s="4" t="s">
        <v>12</v>
      </c>
      <c r="X43" s="155">
        <v>126</v>
      </c>
      <c r="Y43" s="155">
        <v>134</v>
      </c>
      <c r="Z43" s="155">
        <v>142</v>
      </c>
      <c r="AA43" s="155">
        <v>131.8</v>
      </c>
      <c r="AB43" s="155">
        <v>40</v>
      </c>
      <c r="AC43" s="155">
        <v>141.8</v>
      </c>
      <c r="AD43" s="155">
        <v>40</v>
      </c>
      <c r="AE43" s="155">
        <v>141.8</v>
      </c>
      <c r="AF43" s="155">
        <v>40</v>
      </c>
      <c r="AG43" s="32">
        <f t="shared" si="28"/>
        <v>297.8</v>
      </c>
      <c r="AH43" s="32">
        <f t="shared" si="29"/>
        <v>315.8</v>
      </c>
      <c r="AI43" s="32">
        <f t="shared" si="30"/>
        <v>323.8</v>
      </c>
      <c r="AJ43" s="33"/>
      <c r="AK43" s="26">
        <v>230000</v>
      </c>
      <c r="AL43" s="33"/>
      <c r="AM43" s="26">
        <v>230000</v>
      </c>
      <c r="AN43" s="33"/>
      <c r="AO43" s="26">
        <v>230000</v>
      </c>
      <c r="AP43" s="67">
        <f t="shared" si="31"/>
        <v>230000</v>
      </c>
      <c r="AQ43" s="34">
        <f t="shared" si="32"/>
        <v>100</v>
      </c>
      <c r="AR43" s="67">
        <f t="shared" si="33"/>
        <v>230000</v>
      </c>
      <c r="AS43" s="34">
        <f t="shared" si="34"/>
        <v>100</v>
      </c>
      <c r="AT43" s="28">
        <f t="shared" si="35"/>
        <v>134</v>
      </c>
      <c r="AU43" s="28">
        <f t="shared" si="36"/>
        <v>181.8</v>
      </c>
      <c r="AV43" s="28">
        <f t="shared" si="37"/>
        <v>315.8</v>
      </c>
      <c r="AW43" s="24">
        <f t="shared" si="38"/>
        <v>8</v>
      </c>
      <c r="AX43" s="24">
        <f t="shared" si="39"/>
        <v>0</v>
      </c>
      <c r="AY43" s="24">
        <f t="shared" si="40"/>
        <v>8</v>
      </c>
      <c r="AZ43" s="156">
        <f t="shared" si="41"/>
        <v>52272</v>
      </c>
      <c r="BA43" s="35">
        <f t="shared" si="42"/>
        <v>0.2272695652173913</v>
      </c>
      <c r="BB43" s="35">
        <f t="shared" si="43"/>
        <v>32.27227826086957</v>
      </c>
      <c r="BC43" s="36">
        <f t="shared" si="44"/>
        <v>41.31760695652174</v>
      </c>
      <c r="BD43" s="36">
        <f t="shared" si="45"/>
        <v>73.58988521739131</v>
      </c>
      <c r="BE43" s="36" t="str">
        <f t="shared" si="46"/>
        <v>yes</v>
      </c>
      <c r="BF43" s="37">
        <f t="shared" si="47"/>
        <v>0.2272695652173913</v>
      </c>
      <c r="BG43" s="37">
        <f t="shared" si="48"/>
        <v>30.454121739130436</v>
      </c>
      <c r="BH43" s="36">
        <f t="shared" si="49"/>
        <v>41.31760695652174</v>
      </c>
      <c r="BI43" s="38">
        <f t="shared" si="50"/>
        <v>71.77172869565217</v>
      </c>
      <c r="BJ43" s="1" t="str">
        <f t="shared" si="51"/>
        <v>yes</v>
      </c>
      <c r="BK43" s="37">
        <f t="shared" si="52"/>
        <v>1.8181565217391338</v>
      </c>
      <c r="BL43" s="37">
        <f t="shared" si="52"/>
        <v>0</v>
      </c>
      <c r="BM43" s="7">
        <f t="shared" si="53"/>
        <v>1.8181565217391409</v>
      </c>
      <c r="BN43" s="7">
        <f t="shared" si="54"/>
        <v>0</v>
      </c>
    </row>
    <row r="44" spans="2:68" ht="15.75" customHeight="1">
      <c r="B44" s="4" t="s">
        <v>12</v>
      </c>
      <c r="C44" s="4" t="s">
        <v>98</v>
      </c>
      <c r="D44" s="157" t="s">
        <v>184</v>
      </c>
      <c r="E44" s="158" t="s">
        <v>93</v>
      </c>
      <c r="F44" s="79">
        <f t="shared" si="14"/>
        <v>52272</v>
      </c>
      <c r="G44" s="80">
        <f t="shared" si="15"/>
        <v>40</v>
      </c>
      <c r="H44" s="149">
        <f t="shared" si="16"/>
        <v>4</v>
      </c>
      <c r="I44" s="150">
        <f t="shared" si="17"/>
        <v>67.68087652173914</v>
      </c>
      <c r="J44" s="83">
        <f t="shared" si="18"/>
        <v>71.77172869565217</v>
      </c>
      <c r="K44" s="84">
        <f t="shared" si="19"/>
        <v>73.58988521739131</v>
      </c>
      <c r="L44" s="151">
        <f t="shared" si="20"/>
        <v>30.454121739130436</v>
      </c>
      <c r="M44" s="152">
        <f t="shared" si="21"/>
        <v>32.27227826086957</v>
      </c>
      <c r="N44" s="188">
        <f t="shared" si="22"/>
        <v>0.059701492537313605</v>
      </c>
      <c r="O44" s="153">
        <f t="shared" si="23"/>
        <v>41.31760695652174</v>
      </c>
      <c r="P44" s="154">
        <f t="shared" si="24"/>
        <v>41.31760695652174</v>
      </c>
      <c r="Q44" s="176">
        <f t="shared" si="25"/>
        <v>0</v>
      </c>
      <c r="R44" s="100">
        <f t="shared" si="26"/>
        <v>1.8181565217391409</v>
      </c>
      <c r="S44" s="184">
        <f t="shared" si="27"/>
        <v>0.025332488917036246</v>
      </c>
      <c r="U44" s="208" t="s">
        <v>98</v>
      </c>
      <c r="V44" s="4" t="s">
        <v>12</v>
      </c>
      <c r="X44" s="32">
        <v>126</v>
      </c>
      <c r="Y44" s="32">
        <v>134</v>
      </c>
      <c r="Z44" s="32">
        <v>142</v>
      </c>
      <c r="AA44" s="32">
        <v>131.8</v>
      </c>
      <c r="AB44" s="32">
        <v>40</v>
      </c>
      <c r="AC44" s="32">
        <v>141.8</v>
      </c>
      <c r="AD44" s="32">
        <v>40</v>
      </c>
      <c r="AE44" s="32">
        <v>141.8</v>
      </c>
      <c r="AF44" s="32">
        <v>40</v>
      </c>
      <c r="AG44" s="32">
        <f t="shared" si="28"/>
        <v>297.8</v>
      </c>
      <c r="AH44" s="32">
        <f t="shared" si="29"/>
        <v>315.8</v>
      </c>
      <c r="AI44" s="32">
        <f t="shared" si="30"/>
        <v>323.8</v>
      </c>
      <c r="AJ44" s="33"/>
      <c r="AK44" s="26">
        <v>230000</v>
      </c>
      <c r="AL44" s="33"/>
      <c r="AM44" s="26">
        <v>230000</v>
      </c>
      <c r="AN44" s="33"/>
      <c r="AO44" s="26">
        <v>230000</v>
      </c>
      <c r="AP44" s="67">
        <f t="shared" si="31"/>
        <v>230000</v>
      </c>
      <c r="AQ44" s="34">
        <f t="shared" si="32"/>
        <v>100</v>
      </c>
      <c r="AR44" s="67">
        <f t="shared" si="33"/>
        <v>230000</v>
      </c>
      <c r="AS44" s="34">
        <f t="shared" si="34"/>
        <v>100</v>
      </c>
      <c r="AT44" s="28">
        <f t="shared" si="35"/>
        <v>134</v>
      </c>
      <c r="AU44" s="28">
        <f t="shared" si="36"/>
        <v>181.8</v>
      </c>
      <c r="AV44" s="28">
        <f t="shared" si="37"/>
        <v>315.8</v>
      </c>
      <c r="AW44" s="24">
        <f t="shared" si="38"/>
        <v>8</v>
      </c>
      <c r="AX44" s="24">
        <f t="shared" si="39"/>
        <v>0</v>
      </c>
      <c r="AY44" s="24">
        <f t="shared" si="40"/>
        <v>8</v>
      </c>
      <c r="AZ44" s="156">
        <f t="shared" si="41"/>
        <v>52272</v>
      </c>
      <c r="BA44" s="35">
        <f t="shared" si="42"/>
        <v>0.2272695652173913</v>
      </c>
      <c r="BB44" s="35">
        <f t="shared" si="43"/>
        <v>32.27227826086957</v>
      </c>
      <c r="BC44" s="36">
        <f t="shared" si="44"/>
        <v>41.31760695652174</v>
      </c>
      <c r="BD44" s="36">
        <f t="shared" si="45"/>
        <v>73.58988521739131</v>
      </c>
      <c r="BE44" s="36" t="str">
        <f t="shared" si="46"/>
        <v>yes</v>
      </c>
      <c r="BF44" s="37">
        <f t="shared" si="47"/>
        <v>0.2272695652173913</v>
      </c>
      <c r="BG44" s="37">
        <f t="shared" si="48"/>
        <v>30.454121739130436</v>
      </c>
      <c r="BH44" s="36">
        <f t="shared" si="49"/>
        <v>41.31760695652174</v>
      </c>
      <c r="BI44" s="38">
        <f t="shared" si="50"/>
        <v>71.77172869565217</v>
      </c>
      <c r="BJ44" s="1" t="str">
        <f t="shared" si="51"/>
        <v>yes</v>
      </c>
      <c r="BK44" s="37">
        <f t="shared" si="52"/>
        <v>1.8181565217391338</v>
      </c>
      <c r="BL44" s="37">
        <f t="shared" si="52"/>
        <v>0</v>
      </c>
      <c r="BM44" s="7">
        <f t="shared" si="53"/>
        <v>1.8181565217391409</v>
      </c>
      <c r="BN44" s="7">
        <f t="shared" si="54"/>
        <v>0</v>
      </c>
      <c r="BO44" s="38"/>
      <c r="BP44" s="38"/>
    </row>
    <row r="45" spans="4:68" ht="15.75" customHeight="1">
      <c r="D45" s="157" t="s">
        <v>184</v>
      </c>
      <c r="E45" s="158" t="s">
        <v>56</v>
      </c>
      <c r="F45" s="79">
        <f t="shared" si="14"/>
        <v>52272</v>
      </c>
      <c r="G45" s="80">
        <f t="shared" si="15"/>
        <v>40</v>
      </c>
      <c r="H45" s="149">
        <f t="shared" si="16"/>
        <v>4</v>
      </c>
      <c r="I45" s="150">
        <f t="shared" si="17"/>
        <v>0</v>
      </c>
      <c r="J45" s="83">
        <f t="shared" si="18"/>
        <v>0</v>
      </c>
      <c r="K45" s="84">
        <f t="shared" si="19"/>
        <v>73.58988521739131</v>
      </c>
      <c r="L45" s="151">
        <f t="shared" si="20"/>
      </c>
      <c r="M45" s="152">
        <f t="shared" si="21"/>
        <v>32.27227826086957</v>
      </c>
      <c r="N45" s="188" t="str">
        <f t="shared" si="22"/>
        <v>New</v>
      </c>
      <c r="O45" s="153">
        <f t="shared" si="23"/>
      </c>
      <c r="P45" s="154">
        <f t="shared" si="24"/>
        <v>41.31760695652174</v>
      </c>
      <c r="Q45" s="176" t="str">
        <f t="shared" si="25"/>
        <v>New</v>
      </c>
      <c r="R45" s="100" t="str">
        <f t="shared" si="26"/>
        <v>New</v>
      </c>
      <c r="S45" s="184">
        <f t="shared" si="27"/>
      </c>
      <c r="U45" s="208" t="s">
        <v>98</v>
      </c>
      <c r="V45" s="4" t="s">
        <v>12</v>
      </c>
      <c r="X45" s="32"/>
      <c r="Y45" s="32"/>
      <c r="Z45" s="32">
        <v>142</v>
      </c>
      <c r="AA45" s="32"/>
      <c r="AB45" s="32"/>
      <c r="AC45" s="32"/>
      <c r="AD45" s="32"/>
      <c r="AE45" s="32">
        <v>141.8</v>
      </c>
      <c r="AF45" s="32">
        <v>40</v>
      </c>
      <c r="AG45" s="32">
        <f t="shared" si="28"/>
        <v>0</v>
      </c>
      <c r="AH45" s="32">
        <f t="shared" si="29"/>
        <v>0</v>
      </c>
      <c r="AI45" s="32">
        <f t="shared" si="30"/>
        <v>323.8</v>
      </c>
      <c r="AJ45" s="33"/>
      <c r="AK45" s="26">
        <v>230000</v>
      </c>
      <c r="AL45" s="33"/>
      <c r="AM45" s="26">
        <v>230000</v>
      </c>
      <c r="AN45" s="33"/>
      <c r="AO45" s="26">
        <v>230000</v>
      </c>
      <c r="AP45" s="67">
        <f t="shared" si="31"/>
        <v>230000</v>
      </c>
      <c r="AQ45" s="34">
        <f t="shared" si="32"/>
        <v>100</v>
      </c>
      <c r="AR45" s="67">
        <f t="shared" si="33"/>
        <v>230000</v>
      </c>
      <c r="AS45" s="34">
        <f t="shared" si="34"/>
        <v>100</v>
      </c>
      <c r="AT45" s="28">
        <f t="shared" si="35"/>
      </c>
      <c r="AU45" s="28">
        <f t="shared" si="36"/>
      </c>
      <c r="AV45" s="28">
        <f t="shared" si="37"/>
      </c>
      <c r="AW45" s="24">
        <f t="shared" si="38"/>
      </c>
      <c r="AX45" s="24">
        <f t="shared" si="39"/>
      </c>
      <c r="AY45" s="24" t="str">
        <f t="shared" si="40"/>
        <v>New</v>
      </c>
      <c r="AZ45" s="156">
        <f t="shared" si="41"/>
        <v>52272</v>
      </c>
      <c r="BA45" s="35">
        <f t="shared" si="42"/>
        <v>0.2272695652173913</v>
      </c>
      <c r="BB45" s="35">
        <f t="shared" si="43"/>
        <v>32.27227826086957</v>
      </c>
      <c r="BC45" s="36">
        <f t="shared" si="44"/>
        <v>41.31760695652174</v>
      </c>
      <c r="BD45" s="36">
        <f t="shared" si="45"/>
        <v>73.58988521739131</v>
      </c>
      <c r="BE45" s="36" t="str">
        <f t="shared" si="46"/>
        <v>yes</v>
      </c>
      <c r="BF45" s="37">
        <f t="shared" si="47"/>
        <v>0.2272695652173913</v>
      </c>
      <c r="BG45" s="37">
        <f t="shared" si="48"/>
      </c>
      <c r="BH45" s="36">
        <f t="shared" si="49"/>
        <v>0</v>
      </c>
      <c r="BI45" s="38">
        <f t="shared" si="50"/>
        <v>0</v>
      </c>
      <c r="BJ45" s="1" t="str">
        <f t="shared" si="51"/>
        <v>yes</v>
      </c>
      <c r="BK45" s="37">
        <f t="shared" si="52"/>
      </c>
      <c r="BL45" s="37">
        <f t="shared" si="52"/>
      </c>
      <c r="BM45" s="7">
        <f t="shared" si="53"/>
      </c>
      <c r="BN45" s="7" t="e">
        <f t="shared" si="54"/>
        <v>#VALUE!</v>
      </c>
      <c r="BO45" s="38"/>
      <c r="BP45" s="38"/>
    </row>
    <row r="46" spans="3:66" ht="15.75" customHeight="1">
      <c r="C46" s="29"/>
      <c r="D46" s="159" t="s">
        <v>184</v>
      </c>
      <c r="E46" s="158" t="s">
        <v>109</v>
      </c>
      <c r="F46" s="79">
        <f t="shared" si="14"/>
        <v>52272</v>
      </c>
      <c r="G46" s="80">
        <f t="shared" si="15"/>
        <v>40</v>
      </c>
      <c r="H46" s="149">
        <f t="shared" si="16"/>
        <v>4</v>
      </c>
      <c r="I46" s="150">
        <f t="shared" si="17"/>
        <v>0</v>
      </c>
      <c r="J46" s="83">
        <f t="shared" si="18"/>
        <v>71.77172869565217</v>
      </c>
      <c r="K46" s="84">
        <f t="shared" si="19"/>
        <v>73.58988521739131</v>
      </c>
      <c r="L46" s="151">
        <f t="shared" si="20"/>
        <v>30.454121739130436</v>
      </c>
      <c r="M46" s="152">
        <f t="shared" si="21"/>
        <v>32.27227826086957</v>
      </c>
      <c r="N46" s="188">
        <f t="shared" si="22"/>
        <v>0.059701492537313605</v>
      </c>
      <c r="O46" s="153">
        <f t="shared" si="23"/>
        <v>41.31760695652174</v>
      </c>
      <c r="P46" s="154">
        <f t="shared" si="24"/>
        <v>41.31760695652174</v>
      </c>
      <c r="Q46" s="176">
        <f t="shared" si="25"/>
        <v>0</v>
      </c>
      <c r="R46" s="100">
        <f t="shared" si="26"/>
        <v>1.8181565217391409</v>
      </c>
      <c r="S46" s="184">
        <f t="shared" si="27"/>
        <v>0.025332488917036246</v>
      </c>
      <c r="U46" s="207" t="s">
        <v>112</v>
      </c>
      <c r="V46" s="4" t="s">
        <v>12</v>
      </c>
      <c r="X46" s="155"/>
      <c r="Y46" s="155">
        <v>134</v>
      </c>
      <c r="Z46" s="155">
        <v>142</v>
      </c>
      <c r="AA46" s="32"/>
      <c r="AB46" s="155"/>
      <c r="AC46" s="155">
        <v>141.8</v>
      </c>
      <c r="AD46" s="155">
        <v>40</v>
      </c>
      <c r="AE46" s="155">
        <v>141.8</v>
      </c>
      <c r="AF46" s="155">
        <v>40</v>
      </c>
      <c r="AG46" s="32">
        <f t="shared" si="28"/>
        <v>0</v>
      </c>
      <c r="AH46" s="32">
        <f t="shared" si="29"/>
        <v>315.8</v>
      </c>
      <c r="AI46" s="32">
        <f t="shared" si="30"/>
        <v>323.8</v>
      </c>
      <c r="AJ46" s="33"/>
      <c r="AK46" s="26">
        <v>230000</v>
      </c>
      <c r="AL46" s="33"/>
      <c r="AM46" s="26">
        <v>230000</v>
      </c>
      <c r="AN46" s="33"/>
      <c r="AO46" s="26">
        <v>230000</v>
      </c>
      <c r="AP46" s="67">
        <f t="shared" si="31"/>
        <v>230000</v>
      </c>
      <c r="AQ46" s="34">
        <f t="shared" si="32"/>
        <v>100</v>
      </c>
      <c r="AR46" s="67">
        <f t="shared" si="33"/>
        <v>230000</v>
      </c>
      <c r="AS46" s="34">
        <f t="shared" si="34"/>
        <v>100</v>
      </c>
      <c r="AT46" s="28">
        <f t="shared" si="35"/>
        <v>134</v>
      </c>
      <c r="AU46" s="28">
        <f t="shared" si="36"/>
        <v>181.8</v>
      </c>
      <c r="AV46" s="28">
        <f t="shared" si="37"/>
        <v>315.8</v>
      </c>
      <c r="AW46" s="24">
        <f t="shared" si="38"/>
        <v>8</v>
      </c>
      <c r="AX46" s="24">
        <f t="shared" si="39"/>
        <v>0</v>
      </c>
      <c r="AY46" s="24">
        <f t="shared" si="40"/>
        <v>8</v>
      </c>
      <c r="AZ46" s="156">
        <f t="shared" si="41"/>
        <v>52272</v>
      </c>
      <c r="BA46" s="35">
        <f t="shared" si="42"/>
        <v>0.2272695652173913</v>
      </c>
      <c r="BB46" s="35">
        <f t="shared" si="43"/>
        <v>32.27227826086957</v>
      </c>
      <c r="BC46" s="36">
        <f t="shared" si="44"/>
        <v>41.31760695652174</v>
      </c>
      <c r="BD46" s="36">
        <f t="shared" si="45"/>
        <v>73.58988521739131</v>
      </c>
      <c r="BE46" s="36" t="str">
        <f t="shared" si="46"/>
        <v>yes</v>
      </c>
      <c r="BF46" s="37">
        <f t="shared" si="47"/>
        <v>0.2272695652173913</v>
      </c>
      <c r="BG46" s="37">
        <f t="shared" si="48"/>
        <v>30.454121739130436</v>
      </c>
      <c r="BH46" s="36">
        <f t="shared" si="49"/>
        <v>41.31760695652174</v>
      </c>
      <c r="BI46" s="38">
        <f t="shared" si="50"/>
        <v>71.77172869565217</v>
      </c>
      <c r="BJ46" s="1" t="str">
        <f t="shared" si="51"/>
        <v>yes</v>
      </c>
      <c r="BK46" s="37">
        <f t="shared" si="52"/>
        <v>1.8181565217391338</v>
      </c>
      <c r="BL46" s="37">
        <f t="shared" si="52"/>
        <v>0</v>
      </c>
      <c r="BM46" s="7">
        <f t="shared" si="53"/>
        <v>1.8181565217391409</v>
      </c>
      <c r="BN46" s="7">
        <f t="shared" si="54"/>
        <v>0</v>
      </c>
    </row>
    <row r="47" spans="3:66" ht="15.75" customHeight="1">
      <c r="C47" s="29"/>
      <c r="D47" s="159" t="s">
        <v>184</v>
      </c>
      <c r="E47" s="158" t="s">
        <v>57</v>
      </c>
      <c r="F47" s="79">
        <f t="shared" si="14"/>
        <v>52272</v>
      </c>
      <c r="G47" s="80">
        <f t="shared" si="15"/>
        <v>40</v>
      </c>
      <c r="H47" s="149">
        <f t="shared" si="16"/>
        <v>4</v>
      </c>
      <c r="I47" s="150">
        <f t="shared" si="17"/>
        <v>0</v>
      </c>
      <c r="J47" s="83">
        <f t="shared" si="18"/>
        <v>0</v>
      </c>
      <c r="K47" s="84">
        <f t="shared" si="19"/>
        <v>73.58988521739131</v>
      </c>
      <c r="L47" s="151">
        <f t="shared" si="20"/>
      </c>
      <c r="M47" s="152">
        <f t="shared" si="21"/>
        <v>32.27227826086957</v>
      </c>
      <c r="N47" s="188" t="str">
        <f t="shared" si="22"/>
        <v>New</v>
      </c>
      <c r="O47" s="153">
        <f t="shared" si="23"/>
      </c>
      <c r="P47" s="154">
        <f t="shared" si="24"/>
        <v>41.31760695652174</v>
      </c>
      <c r="Q47" s="176" t="str">
        <f t="shared" si="25"/>
        <v>New</v>
      </c>
      <c r="R47" s="100" t="str">
        <f t="shared" si="26"/>
        <v>New</v>
      </c>
      <c r="S47" s="184">
        <f t="shared" si="27"/>
      </c>
      <c r="U47" s="207" t="s">
        <v>112</v>
      </c>
      <c r="V47" s="4" t="s">
        <v>12</v>
      </c>
      <c r="X47" s="155"/>
      <c r="Y47" s="155"/>
      <c r="Z47" s="155">
        <v>142</v>
      </c>
      <c r="AA47" s="32"/>
      <c r="AB47" s="155"/>
      <c r="AC47" s="155"/>
      <c r="AD47" s="155"/>
      <c r="AE47" s="155">
        <v>141.8</v>
      </c>
      <c r="AF47" s="155">
        <v>40</v>
      </c>
      <c r="AG47" s="32">
        <f t="shared" si="28"/>
        <v>0</v>
      </c>
      <c r="AH47" s="32">
        <f t="shared" si="29"/>
        <v>0</v>
      </c>
      <c r="AI47" s="32">
        <f t="shared" si="30"/>
        <v>323.8</v>
      </c>
      <c r="AJ47" s="33"/>
      <c r="AK47" s="26">
        <v>230000</v>
      </c>
      <c r="AL47" s="33"/>
      <c r="AM47" s="26">
        <v>230000</v>
      </c>
      <c r="AN47" s="33"/>
      <c r="AO47" s="26">
        <v>230000</v>
      </c>
      <c r="AP47" s="67">
        <f t="shared" si="31"/>
        <v>230000</v>
      </c>
      <c r="AQ47" s="34">
        <f t="shared" si="32"/>
        <v>100</v>
      </c>
      <c r="AR47" s="67">
        <f t="shared" si="33"/>
        <v>230000</v>
      </c>
      <c r="AS47" s="34">
        <f t="shared" si="34"/>
        <v>100</v>
      </c>
      <c r="AT47" s="28">
        <f t="shared" si="35"/>
      </c>
      <c r="AU47" s="28">
        <f t="shared" si="36"/>
      </c>
      <c r="AV47" s="28">
        <f t="shared" si="37"/>
      </c>
      <c r="AW47" s="24">
        <f t="shared" si="38"/>
      </c>
      <c r="AX47" s="24">
        <f t="shared" si="39"/>
      </c>
      <c r="AY47" s="24" t="str">
        <f t="shared" si="40"/>
        <v>New</v>
      </c>
      <c r="AZ47" s="156">
        <f t="shared" si="41"/>
        <v>52272</v>
      </c>
      <c r="BA47" s="35">
        <f t="shared" si="42"/>
        <v>0.2272695652173913</v>
      </c>
      <c r="BB47" s="35">
        <f t="shared" si="43"/>
        <v>32.27227826086957</v>
      </c>
      <c r="BC47" s="36">
        <f t="shared" si="44"/>
        <v>41.31760695652174</v>
      </c>
      <c r="BD47" s="36">
        <f t="shared" si="45"/>
        <v>73.58988521739131</v>
      </c>
      <c r="BE47" s="36" t="str">
        <f t="shared" si="46"/>
        <v>yes</v>
      </c>
      <c r="BF47" s="37">
        <f t="shared" si="47"/>
        <v>0.2272695652173913</v>
      </c>
      <c r="BG47" s="37">
        <f t="shared" si="48"/>
      </c>
      <c r="BH47" s="36">
        <f t="shared" si="49"/>
        <v>0</v>
      </c>
      <c r="BI47" s="38">
        <f t="shared" si="50"/>
        <v>0</v>
      </c>
      <c r="BJ47" s="1" t="str">
        <f t="shared" si="51"/>
        <v>yes</v>
      </c>
      <c r="BK47" s="37">
        <f t="shared" si="52"/>
      </c>
      <c r="BL47" s="37">
        <f t="shared" si="52"/>
      </c>
      <c r="BM47" s="7">
        <f t="shared" si="53"/>
      </c>
      <c r="BN47" s="7" t="e">
        <f t="shared" si="54"/>
        <v>#VALUE!</v>
      </c>
    </row>
    <row r="48" spans="3:65" s="4" customFormat="1" ht="13.5" customHeight="1">
      <c r="C48" s="41"/>
      <c r="D48" s="41"/>
      <c r="E48" s="41"/>
      <c r="F48" s="75"/>
      <c r="G48" s="41"/>
      <c r="H48" s="41"/>
      <c r="I48" s="42"/>
      <c r="J48" s="13"/>
      <c r="K48" s="13"/>
      <c r="L48" s="44"/>
      <c r="M48" s="44"/>
      <c r="N48" s="179"/>
      <c r="O48" s="45"/>
      <c r="P48" s="46"/>
      <c r="Q48" s="179"/>
      <c r="R48" s="43"/>
      <c r="S48" s="179"/>
      <c r="T48" s="3"/>
      <c r="U48" s="41"/>
      <c r="W48" s="3"/>
      <c r="X48" s="40"/>
      <c r="Y48" s="40"/>
      <c r="Z48" s="40"/>
      <c r="AA48" s="40"/>
      <c r="AB48" s="40"/>
      <c r="AC48" s="40"/>
      <c r="AD48" s="40"/>
      <c r="AE48" s="40"/>
      <c r="AF48" s="40"/>
      <c r="AG48" s="47"/>
      <c r="AH48" s="47"/>
      <c r="AI48" s="47"/>
      <c r="AJ48" s="12"/>
      <c r="AK48" s="12"/>
      <c r="AL48" s="12"/>
      <c r="AM48" s="12"/>
      <c r="AN48" s="12"/>
      <c r="AO48" s="12"/>
      <c r="AP48" s="65"/>
      <c r="AQ48" s="12"/>
      <c r="AR48" s="65"/>
      <c r="AS48" s="12"/>
      <c r="AT48" s="13"/>
      <c r="AU48" s="13"/>
      <c r="AV48" s="13"/>
      <c r="AW48" s="13"/>
      <c r="AX48" s="13"/>
      <c r="AY48" s="3"/>
      <c r="AZ48" s="3"/>
      <c r="BA48" s="12"/>
      <c r="BB48" s="12"/>
      <c r="BC48" s="12"/>
      <c r="BD48" s="12"/>
      <c r="BE48" s="12"/>
      <c r="BH48" s="12"/>
      <c r="BM48" s="14"/>
    </row>
    <row r="49" spans="4:65" s="4" customFormat="1" ht="13.5" customHeight="1">
      <c r="D49" s="4" t="s">
        <v>9</v>
      </c>
      <c r="F49" s="76"/>
      <c r="G49" s="48"/>
      <c r="H49" s="49"/>
      <c r="I49" s="42"/>
      <c r="J49" s="13"/>
      <c r="K49" s="13"/>
      <c r="L49" s="44"/>
      <c r="M49" s="44"/>
      <c r="N49" s="179"/>
      <c r="O49" s="45"/>
      <c r="P49" s="46"/>
      <c r="Q49" s="178"/>
      <c r="R49" s="43"/>
      <c r="S49" s="179"/>
      <c r="T49" s="3"/>
      <c r="W49" s="3"/>
      <c r="X49" s="12"/>
      <c r="Y49" s="12"/>
      <c r="Z49" s="12"/>
      <c r="AA49" s="12"/>
      <c r="AB49" s="12"/>
      <c r="AC49" s="12"/>
      <c r="AD49" s="12"/>
      <c r="AE49" s="12"/>
      <c r="AF49" s="12"/>
      <c r="AG49" s="13"/>
      <c r="AH49" s="13"/>
      <c r="AI49" s="13"/>
      <c r="AJ49" s="12"/>
      <c r="AK49" s="12"/>
      <c r="AL49" s="12"/>
      <c r="AM49" s="12"/>
      <c r="AN49" s="12"/>
      <c r="AO49" s="12"/>
      <c r="AP49" s="65"/>
      <c r="AQ49" s="12"/>
      <c r="AR49" s="65"/>
      <c r="AS49" s="12"/>
      <c r="AT49" s="13"/>
      <c r="AU49" s="13"/>
      <c r="AV49" s="13"/>
      <c r="AW49" s="13"/>
      <c r="AX49" s="13"/>
      <c r="AY49" s="3"/>
      <c r="AZ49" s="3"/>
      <c r="BA49" s="12"/>
      <c r="BB49" s="12"/>
      <c r="BC49" s="12"/>
      <c r="BD49" s="12"/>
      <c r="BE49" s="12"/>
      <c r="BH49" s="12"/>
      <c r="BM49" s="14"/>
    </row>
    <row r="50" spans="4:65" s="4" customFormat="1" ht="13.5" customHeight="1">
      <c r="D50" s="4" t="s">
        <v>168</v>
      </c>
      <c r="F50" s="76"/>
      <c r="G50" s="48"/>
      <c r="H50" s="49"/>
      <c r="I50" s="42"/>
      <c r="J50" s="13"/>
      <c r="K50" s="13"/>
      <c r="L50" s="44"/>
      <c r="M50" s="44"/>
      <c r="N50" s="179"/>
      <c r="O50" s="45"/>
      <c r="P50" s="46"/>
      <c r="Q50" s="179"/>
      <c r="R50" s="43"/>
      <c r="S50" s="179"/>
      <c r="T50" s="3"/>
      <c r="W50" s="3"/>
      <c r="X50" s="12"/>
      <c r="Y50" s="12"/>
      <c r="Z50" s="12"/>
      <c r="AA50" s="12"/>
      <c r="AB50" s="12"/>
      <c r="AC50" s="12"/>
      <c r="AD50" s="12"/>
      <c r="AE50" s="12"/>
      <c r="AF50" s="12"/>
      <c r="AG50" s="13"/>
      <c r="AH50" s="13"/>
      <c r="AI50" s="13"/>
      <c r="AJ50" s="12"/>
      <c r="AK50" s="12"/>
      <c r="AL50" s="12"/>
      <c r="AM50" s="12"/>
      <c r="AN50" s="12"/>
      <c r="AO50" s="12"/>
      <c r="AP50" s="65"/>
      <c r="AQ50" s="12"/>
      <c r="AR50" s="65"/>
      <c r="AS50" s="12"/>
      <c r="AT50" s="13"/>
      <c r="AU50" s="13"/>
      <c r="AV50" s="13"/>
      <c r="AW50" s="13"/>
      <c r="AX50" s="13"/>
      <c r="AY50" s="3"/>
      <c r="AZ50" s="3"/>
      <c r="BA50" s="12"/>
      <c r="BB50" s="12"/>
      <c r="BC50" s="12"/>
      <c r="BD50" s="12"/>
      <c r="BE50" s="12"/>
      <c r="BH50" s="12"/>
      <c r="BM50" s="14"/>
    </row>
    <row r="51" spans="4:65" s="4" customFormat="1" ht="13.5" customHeight="1">
      <c r="D51" s="4" t="s">
        <v>91</v>
      </c>
      <c r="F51" s="76"/>
      <c r="G51" s="48"/>
      <c r="H51" s="49"/>
      <c r="I51" s="42"/>
      <c r="J51" s="13"/>
      <c r="K51" s="13"/>
      <c r="L51" s="44"/>
      <c r="M51" s="44"/>
      <c r="N51" s="179"/>
      <c r="O51" s="45"/>
      <c r="P51" s="46"/>
      <c r="Q51" s="179"/>
      <c r="R51" s="43"/>
      <c r="S51" s="179"/>
      <c r="T51" s="3"/>
      <c r="W51" s="3"/>
      <c r="X51" s="12"/>
      <c r="Y51" s="12"/>
      <c r="Z51" s="12"/>
      <c r="AA51" s="12"/>
      <c r="AB51" s="12"/>
      <c r="AC51" s="12"/>
      <c r="AD51" s="12"/>
      <c r="AE51" s="12"/>
      <c r="AF51" s="12"/>
      <c r="AG51" s="13"/>
      <c r="AH51" s="13"/>
      <c r="AI51" s="13"/>
      <c r="AJ51" s="12"/>
      <c r="AK51" s="12"/>
      <c r="AL51" s="12"/>
      <c r="AM51" s="12"/>
      <c r="AN51" s="12"/>
      <c r="AO51" s="12"/>
      <c r="AP51" s="65"/>
      <c r="AQ51" s="12"/>
      <c r="AR51" s="65"/>
      <c r="AS51" s="12"/>
      <c r="AT51" s="13"/>
      <c r="AU51" s="13"/>
      <c r="AV51" s="13"/>
      <c r="AW51" s="13"/>
      <c r="AX51" s="13"/>
      <c r="AY51" s="3"/>
      <c r="AZ51" s="3"/>
      <c r="BA51" s="12"/>
      <c r="BB51" s="12"/>
      <c r="BC51" s="12"/>
      <c r="BD51" s="12"/>
      <c r="BE51" s="12"/>
      <c r="BH51" s="12"/>
      <c r="BM51" s="14"/>
    </row>
    <row r="52" spans="4:65" s="4" customFormat="1" ht="13.5" customHeight="1">
      <c r="D52" s="4" t="s">
        <v>113</v>
      </c>
      <c r="F52" s="76"/>
      <c r="G52" s="48"/>
      <c r="H52" s="49"/>
      <c r="I52" s="42"/>
      <c r="J52" s="13"/>
      <c r="K52" s="13"/>
      <c r="L52" s="44"/>
      <c r="M52" s="44"/>
      <c r="N52" s="179"/>
      <c r="O52" s="45"/>
      <c r="P52" s="46"/>
      <c r="Q52" s="179"/>
      <c r="R52" s="43"/>
      <c r="S52" s="179"/>
      <c r="T52" s="3"/>
      <c r="W52" s="3"/>
      <c r="X52" s="12"/>
      <c r="Y52" s="12"/>
      <c r="Z52" s="12"/>
      <c r="AA52" s="12"/>
      <c r="AB52" s="12"/>
      <c r="AC52" s="12"/>
      <c r="AD52" s="12"/>
      <c r="AE52" s="12"/>
      <c r="AF52" s="12"/>
      <c r="AG52" s="13"/>
      <c r="AH52" s="13"/>
      <c r="AI52" s="13"/>
      <c r="AJ52" s="12"/>
      <c r="AK52" s="12"/>
      <c r="AL52" s="12"/>
      <c r="AM52" s="12"/>
      <c r="AN52" s="12"/>
      <c r="AO52" s="12"/>
      <c r="AP52" s="65"/>
      <c r="AQ52" s="12"/>
      <c r="AR52" s="65"/>
      <c r="AS52" s="12"/>
      <c r="AT52" s="13"/>
      <c r="AU52" s="13"/>
      <c r="AV52" s="13"/>
      <c r="AW52" s="13"/>
      <c r="AX52" s="13"/>
      <c r="AY52" s="3"/>
      <c r="AZ52" s="3"/>
      <c r="BA52" s="12"/>
      <c r="BB52" s="12"/>
      <c r="BC52" s="12"/>
      <c r="BD52" s="12"/>
      <c r="BE52" s="12"/>
      <c r="BH52" s="12"/>
      <c r="BM52" s="14"/>
    </row>
    <row r="53" spans="4:65" s="4" customFormat="1" ht="13.5" customHeight="1">
      <c r="D53" s="222" t="s">
        <v>202</v>
      </c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3"/>
      <c r="W53" s="3"/>
      <c r="X53" s="12"/>
      <c r="Y53" s="12"/>
      <c r="Z53" s="12"/>
      <c r="AA53" s="12"/>
      <c r="AB53" s="12"/>
      <c r="AC53" s="12"/>
      <c r="AD53" s="12"/>
      <c r="AE53" s="12"/>
      <c r="AF53" s="12"/>
      <c r="AG53" s="13"/>
      <c r="AH53" s="13"/>
      <c r="AI53" s="13"/>
      <c r="AJ53" s="12"/>
      <c r="AK53" s="12"/>
      <c r="AL53" s="12"/>
      <c r="AM53" s="12"/>
      <c r="AN53" s="12"/>
      <c r="AO53" s="12"/>
      <c r="AP53" s="65"/>
      <c r="AQ53" s="12"/>
      <c r="AR53" s="65"/>
      <c r="AS53" s="12"/>
      <c r="AT53" s="13"/>
      <c r="AU53" s="13"/>
      <c r="AV53" s="13"/>
      <c r="AW53" s="13"/>
      <c r="AX53" s="13"/>
      <c r="AY53" s="3"/>
      <c r="AZ53" s="3"/>
      <c r="BA53" s="12"/>
      <c r="BB53" s="12"/>
      <c r="BC53" s="12"/>
      <c r="BD53" s="12"/>
      <c r="BE53" s="12"/>
      <c r="BH53" s="12"/>
      <c r="BM53" s="14"/>
    </row>
    <row r="54" spans="4:65" s="4" customFormat="1" ht="13.5" customHeight="1"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3"/>
      <c r="W54" s="3"/>
      <c r="X54" s="12"/>
      <c r="Y54" s="12"/>
      <c r="Z54" s="12"/>
      <c r="AA54" s="12"/>
      <c r="AB54" s="12"/>
      <c r="AC54" s="12"/>
      <c r="AD54" s="12"/>
      <c r="AE54" s="12"/>
      <c r="AF54" s="12"/>
      <c r="AG54" s="13"/>
      <c r="AH54" s="13"/>
      <c r="AI54" s="13"/>
      <c r="AJ54" s="12"/>
      <c r="AK54" s="12"/>
      <c r="AL54" s="12"/>
      <c r="AM54" s="12"/>
      <c r="AN54" s="12"/>
      <c r="AO54" s="12"/>
      <c r="AP54" s="65"/>
      <c r="AQ54" s="12"/>
      <c r="AR54" s="65"/>
      <c r="AS54" s="12"/>
      <c r="AT54" s="13"/>
      <c r="AU54" s="13"/>
      <c r="AV54" s="13"/>
      <c r="AW54" s="13"/>
      <c r="AX54" s="13"/>
      <c r="AY54" s="3"/>
      <c r="AZ54" s="3"/>
      <c r="BA54" s="12"/>
      <c r="BB54" s="12"/>
      <c r="BC54" s="12"/>
      <c r="BD54" s="12"/>
      <c r="BE54" s="12"/>
      <c r="BH54" s="12"/>
      <c r="BM54" s="14"/>
    </row>
    <row r="55" spans="6:19" ht="13.5" customHeight="1">
      <c r="F55" s="77"/>
      <c r="H55" s="197"/>
      <c r="N55" s="180"/>
      <c r="Q55" s="180"/>
      <c r="S55" s="180"/>
    </row>
    <row r="56" spans="6:19" ht="13.5" customHeight="1">
      <c r="F56" s="77"/>
      <c r="H56" s="197"/>
      <c r="N56" s="180"/>
      <c r="Q56" s="180"/>
      <c r="S56" s="180"/>
    </row>
    <row r="57" spans="6:19" ht="13.5" customHeight="1">
      <c r="F57" s="77"/>
      <c r="H57" s="197"/>
      <c r="N57" s="180"/>
      <c r="Q57" s="180"/>
      <c r="S57" s="180"/>
    </row>
    <row r="58" spans="6:19" ht="13.5" customHeight="1">
      <c r="F58" s="77"/>
      <c r="H58" s="197"/>
      <c r="N58" s="180"/>
      <c r="Q58" s="180"/>
      <c r="S58" s="180"/>
    </row>
    <row r="59" spans="6:19" ht="13.5" customHeight="1">
      <c r="F59" s="77"/>
      <c r="H59" s="197"/>
      <c r="N59" s="180"/>
      <c r="Q59" s="180"/>
      <c r="S59" s="180"/>
    </row>
    <row r="60" spans="6:19" ht="13.5" customHeight="1">
      <c r="F60" s="77"/>
      <c r="H60" s="197"/>
      <c r="N60" s="180"/>
      <c r="Q60" s="180"/>
      <c r="S60" s="180"/>
    </row>
    <row r="61" spans="6:19" ht="13.5" customHeight="1">
      <c r="F61" s="77"/>
      <c r="H61" s="197"/>
      <c r="N61" s="180"/>
      <c r="Q61" s="180"/>
      <c r="S61" s="180"/>
    </row>
    <row r="62" spans="6:19" ht="13.5" customHeight="1">
      <c r="F62" s="77"/>
      <c r="H62" s="197"/>
      <c r="N62" s="180"/>
      <c r="Q62" s="180"/>
      <c r="S62" s="180"/>
    </row>
    <row r="63" spans="6:19" ht="13.5" customHeight="1">
      <c r="F63" s="77"/>
      <c r="H63" s="197"/>
      <c r="N63" s="180"/>
      <c r="Q63" s="180"/>
      <c r="S63" s="180"/>
    </row>
    <row r="64" spans="6:19" ht="13.5" customHeight="1">
      <c r="F64" s="77"/>
      <c r="H64" s="197"/>
      <c r="N64" s="180"/>
      <c r="Q64" s="180"/>
      <c r="S64" s="180"/>
    </row>
    <row r="65" spans="6:19" ht="13.5" customHeight="1">
      <c r="F65" s="77"/>
      <c r="H65" s="197"/>
      <c r="N65" s="180"/>
      <c r="Q65" s="180"/>
      <c r="S65" s="180"/>
    </row>
    <row r="66" spans="6:19" ht="13.5" customHeight="1">
      <c r="F66" s="77"/>
      <c r="H66" s="197"/>
      <c r="N66" s="180"/>
      <c r="Q66" s="180"/>
      <c r="S66" s="180"/>
    </row>
    <row r="67" spans="6:19" ht="13.5" customHeight="1">
      <c r="F67" s="77"/>
      <c r="H67" s="197"/>
      <c r="N67" s="180"/>
      <c r="Q67" s="180"/>
      <c r="S67" s="180"/>
    </row>
    <row r="68" spans="6:19" ht="13.5" customHeight="1">
      <c r="F68" s="77"/>
      <c r="H68" s="197"/>
      <c r="N68" s="180"/>
      <c r="Q68" s="180"/>
      <c r="S68" s="180"/>
    </row>
    <row r="69" spans="6:19" ht="13.5" customHeight="1">
      <c r="F69" s="77"/>
      <c r="H69" s="197"/>
      <c r="N69" s="180"/>
      <c r="Q69" s="180"/>
      <c r="S69" s="180"/>
    </row>
    <row r="70" spans="6:19" ht="13.5" customHeight="1">
      <c r="F70" s="77"/>
      <c r="H70" s="197"/>
      <c r="N70" s="180"/>
      <c r="Q70" s="180"/>
      <c r="S70" s="180"/>
    </row>
    <row r="71" spans="6:19" ht="13.5" customHeight="1">
      <c r="F71" s="77"/>
      <c r="H71" s="197"/>
      <c r="N71" s="180"/>
      <c r="Q71" s="180"/>
      <c r="S71" s="180"/>
    </row>
    <row r="72" spans="6:19" ht="13.5" customHeight="1">
      <c r="F72" s="77"/>
      <c r="H72" s="197"/>
      <c r="N72" s="180"/>
      <c r="Q72" s="180"/>
      <c r="S72" s="180"/>
    </row>
    <row r="73" spans="6:19" ht="13.5" customHeight="1">
      <c r="F73" s="77"/>
      <c r="H73" s="197"/>
      <c r="N73" s="180"/>
      <c r="Q73" s="180"/>
      <c r="S73" s="180"/>
    </row>
    <row r="74" spans="6:19" ht="13.5" customHeight="1">
      <c r="F74" s="77"/>
      <c r="H74" s="197"/>
      <c r="N74" s="180"/>
      <c r="Q74" s="180"/>
      <c r="S74" s="180"/>
    </row>
    <row r="75" spans="6:19" ht="13.5" customHeight="1">
      <c r="F75" s="77"/>
      <c r="H75" s="197"/>
      <c r="N75" s="180"/>
      <c r="Q75" s="180"/>
      <c r="S75" s="180"/>
    </row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</sheetData>
  <sheetProtection password="ECC8" sheet="1" objects="1" scenarios="1"/>
  <mergeCells count="25">
    <mergeCell ref="D14:E17"/>
    <mergeCell ref="R16:S16"/>
    <mergeCell ref="O13:Q13"/>
    <mergeCell ref="O14:Q14"/>
    <mergeCell ref="J16:K16"/>
    <mergeCell ref="L16:N16"/>
    <mergeCell ref="O16:Q16"/>
    <mergeCell ref="O11:Q11"/>
    <mergeCell ref="K11:K12"/>
    <mergeCell ref="D12:F12"/>
    <mergeCell ref="D2:S2"/>
    <mergeCell ref="D6:S6"/>
    <mergeCell ref="D7:S7"/>
    <mergeCell ref="O9:S9"/>
    <mergeCell ref="O10:Q10"/>
    <mergeCell ref="AT37:AV37"/>
    <mergeCell ref="AW37:AY37"/>
    <mergeCell ref="D11:F11"/>
    <mergeCell ref="J11:J12"/>
    <mergeCell ref="J37:K37"/>
    <mergeCell ref="L37:N37"/>
    <mergeCell ref="O37:Q37"/>
    <mergeCell ref="R37:S37"/>
    <mergeCell ref="L11:L12"/>
    <mergeCell ref="M11:M12"/>
  </mergeCells>
  <dataValidations count="2">
    <dataValidation type="list" allowBlank="1" showInputMessage="1" showErrorMessage="1" sqref="E19 E21:E27">
      <formula1>'      BG2,  WS,   WRF'!$E$40:$E$168</formula1>
    </dataValidation>
    <dataValidation type="list" allowBlank="1" showInputMessage="1" showErrorMessage="1" prompt="=$E$37:$E$176" sqref="E20">
      <formula1>'      BG2,  WS,   WRF'!$E$40:$E$168</formula1>
    </dataValidation>
  </dataValidations>
  <hyperlinks>
    <hyperlink ref="O13" r:id="rId1" display="www.plainscotton.org"/>
    <hyperlink ref="L4" r:id="rId2" display="http://www.plainscotton.org"/>
  </hyperlinks>
  <printOptions/>
  <pageMargins left="0.75" right="0.75" top="1" bottom="1" header="0.5" footer="0.5"/>
  <pageSetup fitToHeight="1" fitToWidth="1" orientation="landscape" scale="68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S174"/>
  <sheetViews>
    <sheetView zoomScalePageLayoutView="0" workbookViewId="0" topLeftCell="A1">
      <selection activeCell="A3" sqref="A3:IV4"/>
    </sheetView>
  </sheetViews>
  <sheetFormatPr defaultColWidth="11.625" defaultRowHeight="12.75"/>
  <cols>
    <col min="1" max="1" width="1.75390625" style="1" customWidth="1"/>
    <col min="2" max="3" width="11.625" style="4" hidden="1" customWidth="1"/>
    <col min="4" max="4" width="12.75390625" style="1" customWidth="1"/>
    <col min="5" max="5" width="20.375" style="1" customWidth="1"/>
    <col min="6" max="6" width="12.625" style="73" customWidth="1"/>
    <col min="7" max="7" width="11.625" style="15" hidden="1" customWidth="1"/>
    <col min="8" max="8" width="11.625" style="16" hidden="1" customWidth="1"/>
    <col min="9" max="9" width="11.625" style="17" hidden="1" customWidth="1"/>
    <col min="10" max="10" width="11.00390625" style="6" customWidth="1"/>
    <col min="11" max="11" width="10.875" style="6" customWidth="1"/>
    <col min="12" max="12" width="10.375" style="19" customWidth="1"/>
    <col min="13" max="13" width="9.875" style="19" customWidth="1"/>
    <col min="14" max="14" width="9.875" style="172" customWidth="1"/>
    <col min="15" max="15" width="9.75390625" style="20" customWidth="1"/>
    <col min="16" max="16" width="9.75390625" style="21" customWidth="1"/>
    <col min="17" max="17" width="9.75390625" style="172" customWidth="1"/>
    <col min="18" max="18" width="9.75390625" style="18" customWidth="1"/>
    <col min="19" max="19" width="9.75390625" style="172" customWidth="1"/>
    <col min="20" max="20" width="4.375" style="3" customWidth="1"/>
    <col min="21" max="22" width="11.625" style="4" hidden="1" customWidth="1"/>
    <col min="23" max="23" width="2.25390625" style="3" hidden="1" customWidth="1"/>
    <col min="24" max="27" width="11.625" style="5" hidden="1" customWidth="1"/>
    <col min="28" max="28" width="15.375" style="5" hidden="1" customWidth="1"/>
    <col min="29" max="29" width="11.625" style="5" hidden="1" customWidth="1"/>
    <col min="30" max="30" width="15.375" style="5" hidden="1" customWidth="1"/>
    <col min="31" max="31" width="11.625" style="5" hidden="1" customWidth="1"/>
    <col min="32" max="32" width="15.375" style="5" hidden="1" customWidth="1"/>
    <col min="33" max="35" width="11.625" style="6" hidden="1" customWidth="1"/>
    <col min="36" max="41" width="10.00390625" style="5" hidden="1" customWidth="1"/>
    <col min="42" max="42" width="11.625" style="50" hidden="1" customWidth="1"/>
    <col min="43" max="43" width="11.625" style="5" hidden="1" customWidth="1"/>
    <col min="44" max="44" width="11.625" style="50" hidden="1" customWidth="1"/>
    <col min="45" max="45" width="11.625" style="5" hidden="1" customWidth="1"/>
    <col min="46" max="52" width="11.625" style="6" hidden="1" customWidth="1"/>
    <col min="53" max="57" width="11.625" style="5" hidden="1" customWidth="1"/>
    <col min="58" max="59" width="11.625" style="1" hidden="1" customWidth="1"/>
    <col min="60" max="60" width="11.625" style="5" hidden="1" customWidth="1"/>
    <col min="61" max="64" width="11.625" style="1" hidden="1" customWidth="1"/>
    <col min="65" max="65" width="11.625" style="7" hidden="1" customWidth="1"/>
    <col min="66" max="66" width="11.625" style="1" hidden="1" customWidth="1"/>
    <col min="67" max="16384" width="11.625" style="1" customWidth="1"/>
  </cols>
  <sheetData>
    <row r="1" spans="1:22" ht="10.5" customHeight="1">
      <c r="A1" s="209"/>
      <c r="B1" s="1"/>
      <c r="C1" s="1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1"/>
      <c r="U1" s="1"/>
      <c r="V1" s="1"/>
    </row>
    <row r="2" spans="2:22" ht="46.5" customHeight="1">
      <c r="B2" s="1"/>
      <c r="C2" s="1"/>
      <c r="D2" s="258" t="s">
        <v>144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1"/>
      <c r="U2" s="1"/>
      <c r="V2" s="1"/>
    </row>
    <row r="3" spans="2:22" ht="18" customHeight="1">
      <c r="B3" s="1"/>
      <c r="C3" s="1"/>
      <c r="D3" s="226"/>
      <c r="E3" s="226"/>
      <c r="F3" s="226"/>
      <c r="G3" s="226"/>
      <c r="H3" s="226"/>
      <c r="I3" s="226"/>
      <c r="J3" s="226"/>
      <c r="K3" s="226"/>
      <c r="L3" s="228" t="s">
        <v>244</v>
      </c>
      <c r="M3" s="226"/>
      <c r="N3" s="226"/>
      <c r="O3" s="226"/>
      <c r="P3" s="226"/>
      <c r="Q3" s="226"/>
      <c r="R3" s="226"/>
      <c r="S3" s="226"/>
      <c r="T3" s="1"/>
      <c r="U3" s="1"/>
      <c r="V3" s="1"/>
    </row>
    <row r="4" spans="2:22" ht="18" customHeight="1">
      <c r="B4" s="22"/>
      <c r="C4" s="22"/>
      <c r="D4" s="2"/>
      <c r="E4" s="2"/>
      <c r="F4" s="69"/>
      <c r="G4" s="2"/>
      <c r="H4" s="2"/>
      <c r="I4" s="8"/>
      <c r="J4" s="9"/>
      <c r="K4" s="10"/>
      <c r="L4" s="227" t="s">
        <v>243</v>
      </c>
      <c r="M4" s="1"/>
      <c r="N4" s="171"/>
      <c r="O4" s="1"/>
      <c r="P4" s="1"/>
      <c r="Q4" s="171"/>
      <c r="R4" s="9"/>
      <c r="S4" s="181"/>
      <c r="T4" s="22"/>
      <c r="U4" s="22"/>
      <c r="V4" s="22"/>
    </row>
    <row r="5" spans="2:22" ht="9" customHeight="1" thickBot="1">
      <c r="B5" s="22"/>
      <c r="C5" s="22"/>
      <c r="D5" s="2"/>
      <c r="E5" s="2"/>
      <c r="F5" s="69"/>
      <c r="G5" s="2"/>
      <c r="H5" s="2"/>
      <c r="I5" s="8"/>
      <c r="J5" s="9"/>
      <c r="K5" s="10"/>
      <c r="L5" s="225"/>
      <c r="M5" s="1"/>
      <c r="N5" s="171"/>
      <c r="O5" s="1"/>
      <c r="P5" s="1"/>
      <c r="Q5" s="171"/>
      <c r="R5" s="9"/>
      <c r="S5" s="181"/>
      <c r="T5" s="22"/>
      <c r="U5" s="22"/>
      <c r="V5" s="22"/>
    </row>
    <row r="6" spans="4:65" s="4" customFormat="1" ht="21" customHeight="1" thickTop="1">
      <c r="D6" s="262" t="s">
        <v>166</v>
      </c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4"/>
      <c r="W6" s="11"/>
      <c r="X6" s="12"/>
      <c r="Y6" s="12"/>
      <c r="Z6" s="12"/>
      <c r="AA6" s="12"/>
      <c r="AB6" s="12"/>
      <c r="AC6" s="12"/>
      <c r="AD6" s="12"/>
      <c r="AE6" s="12"/>
      <c r="AF6" s="12"/>
      <c r="AG6" s="13"/>
      <c r="AH6" s="13"/>
      <c r="AI6" s="13"/>
      <c r="AJ6" s="12"/>
      <c r="AK6" s="12"/>
      <c r="AL6" s="12"/>
      <c r="AM6" s="12"/>
      <c r="AN6" s="12"/>
      <c r="AO6" s="12"/>
      <c r="AP6" s="65"/>
      <c r="AQ6" s="12"/>
      <c r="AR6" s="65"/>
      <c r="AS6" s="12"/>
      <c r="AT6" s="13"/>
      <c r="AU6" s="13"/>
      <c r="AV6" s="13"/>
      <c r="AW6" s="13"/>
      <c r="AX6" s="13"/>
      <c r="AY6" s="13"/>
      <c r="AZ6" s="13"/>
      <c r="BA6" s="12"/>
      <c r="BB6" s="12"/>
      <c r="BC6" s="12"/>
      <c r="BD6" s="12"/>
      <c r="BE6" s="12"/>
      <c r="BH6" s="12"/>
      <c r="BM6" s="14"/>
    </row>
    <row r="7" spans="4:65" s="4" customFormat="1" ht="21" customHeight="1" thickBot="1">
      <c r="D7" s="265" t="s">
        <v>58</v>
      </c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7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3"/>
      <c r="AH7" s="13"/>
      <c r="AI7" s="13"/>
      <c r="AJ7" s="12"/>
      <c r="AK7" s="12"/>
      <c r="AL7" s="12"/>
      <c r="AM7" s="12"/>
      <c r="AN7" s="12"/>
      <c r="AO7" s="12"/>
      <c r="AP7" s="65"/>
      <c r="AQ7" s="12"/>
      <c r="AR7" s="65"/>
      <c r="AS7" s="12"/>
      <c r="AT7" s="13"/>
      <c r="AU7" s="13"/>
      <c r="AV7" s="13"/>
      <c r="AW7" s="13"/>
      <c r="AX7" s="13"/>
      <c r="AY7" s="13"/>
      <c r="AZ7" s="13"/>
      <c r="BA7" s="12"/>
      <c r="BB7" s="12"/>
      <c r="BC7" s="12"/>
      <c r="BD7" s="12"/>
      <c r="BE7" s="12"/>
      <c r="BH7" s="12"/>
      <c r="BM7" s="14"/>
    </row>
    <row r="8" spans="1:65" s="4" customFormat="1" ht="9" customHeight="1" thickBot="1">
      <c r="A8" s="1"/>
      <c r="B8" s="22"/>
      <c r="C8" s="22"/>
      <c r="D8" s="50"/>
      <c r="E8" s="51"/>
      <c r="F8" s="70"/>
      <c r="G8" s="36"/>
      <c r="H8" s="36"/>
      <c r="I8" s="21"/>
      <c r="J8" s="19"/>
      <c r="K8" s="20"/>
      <c r="L8" s="3"/>
      <c r="M8" s="1"/>
      <c r="N8" s="171"/>
      <c r="O8" s="1"/>
      <c r="P8" s="1"/>
      <c r="Q8" s="171"/>
      <c r="R8" s="19"/>
      <c r="S8" s="181"/>
      <c r="T8" s="22"/>
      <c r="U8" s="22"/>
      <c r="V8" s="22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3"/>
      <c r="AH8" s="13"/>
      <c r="AI8" s="13"/>
      <c r="AJ8" s="12"/>
      <c r="AK8" s="12"/>
      <c r="AL8" s="12"/>
      <c r="AM8" s="12"/>
      <c r="AN8" s="12"/>
      <c r="AO8" s="12"/>
      <c r="AP8" s="65"/>
      <c r="AQ8" s="12"/>
      <c r="AR8" s="65"/>
      <c r="AS8" s="12"/>
      <c r="AT8" s="13"/>
      <c r="AU8" s="13"/>
      <c r="AV8" s="13"/>
      <c r="AW8" s="13"/>
      <c r="AX8" s="13"/>
      <c r="AY8" s="13"/>
      <c r="AZ8" s="13"/>
      <c r="BA8" s="12"/>
      <c r="BB8" s="12"/>
      <c r="BC8" s="12"/>
      <c r="BD8" s="12"/>
      <c r="BE8" s="12"/>
      <c r="BH8" s="12"/>
      <c r="BM8" s="14"/>
    </row>
    <row r="9" spans="1:65" s="4" customFormat="1" ht="16.5" thickBot="1">
      <c r="A9" s="1"/>
      <c r="B9" s="22"/>
      <c r="C9" s="22"/>
      <c r="D9" s="22"/>
      <c r="E9" s="22"/>
      <c r="F9" s="71"/>
      <c r="G9" s="22"/>
      <c r="H9" s="196"/>
      <c r="I9" s="22"/>
      <c r="J9" s="22"/>
      <c r="K9" s="22"/>
      <c r="L9" s="3"/>
      <c r="M9" s="1"/>
      <c r="N9" s="171"/>
      <c r="O9" s="259" t="s">
        <v>124</v>
      </c>
      <c r="P9" s="260"/>
      <c r="Q9" s="260"/>
      <c r="R9" s="260"/>
      <c r="S9" s="261"/>
      <c r="T9" s="22"/>
      <c r="U9" s="22"/>
      <c r="V9" s="22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3"/>
      <c r="AH9" s="13"/>
      <c r="AI9" s="13"/>
      <c r="AJ9" s="12"/>
      <c r="AK9" s="12"/>
      <c r="AL9" s="12"/>
      <c r="AM9" s="12"/>
      <c r="AN9" s="12"/>
      <c r="AO9" s="12"/>
      <c r="AP9" s="65"/>
      <c r="AQ9" s="12"/>
      <c r="AR9" s="65"/>
      <c r="AS9" s="12"/>
      <c r="AT9" s="13"/>
      <c r="AU9" s="13"/>
      <c r="AV9" s="13"/>
      <c r="AW9" s="13"/>
      <c r="AX9" s="13"/>
      <c r="AY9" s="13"/>
      <c r="AZ9" s="13"/>
      <c r="BA9" s="12"/>
      <c r="BB9" s="12"/>
      <c r="BC9" s="12"/>
      <c r="BD9" s="12"/>
      <c r="BE9" s="12"/>
      <c r="BH9" s="12"/>
      <c r="BM9" s="14"/>
    </row>
    <row r="10" spans="4:19" ht="30.75" customHeight="1" thickBot="1">
      <c r="D10" s="114" t="s">
        <v>59</v>
      </c>
      <c r="E10" s="68"/>
      <c r="F10" s="72"/>
      <c r="J10" s="115" t="s">
        <v>6</v>
      </c>
      <c r="K10" s="115" t="s">
        <v>5</v>
      </c>
      <c r="L10" s="115" t="s">
        <v>26</v>
      </c>
      <c r="M10" s="116" t="s">
        <v>189</v>
      </c>
      <c r="O10" s="268" t="s">
        <v>169</v>
      </c>
      <c r="P10" s="269"/>
      <c r="Q10" s="269"/>
      <c r="R10" s="211"/>
      <c r="S10" s="212"/>
    </row>
    <row r="11" spans="4:19" ht="18.75" customHeight="1">
      <c r="D11" s="250" t="s">
        <v>68</v>
      </c>
      <c r="E11" s="251"/>
      <c r="F11" s="246"/>
      <c r="J11" s="270"/>
      <c r="K11" s="272">
        <v>40</v>
      </c>
      <c r="L11" s="274">
        <v>4</v>
      </c>
      <c r="M11" s="276">
        <f>(43560/($K11/12)*L11)</f>
        <v>52272</v>
      </c>
      <c r="O11" s="254" t="s">
        <v>197</v>
      </c>
      <c r="P11" s="255"/>
      <c r="Q11" s="255"/>
      <c r="R11" s="213"/>
      <c r="S11" s="214"/>
    </row>
    <row r="12" spans="4:71" ht="18" customHeight="1" thickBot="1">
      <c r="D12" s="250" t="s">
        <v>164</v>
      </c>
      <c r="E12" s="251"/>
      <c r="F12" s="246"/>
      <c r="J12" s="271"/>
      <c r="K12" s="273"/>
      <c r="L12" s="275"/>
      <c r="M12" s="277"/>
      <c r="O12" s="215"/>
      <c r="P12" s="216"/>
      <c r="Q12" s="217"/>
      <c r="R12" s="213"/>
      <c r="S12" s="214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66"/>
      <c r="AQ12" s="22"/>
      <c r="AR12" s="66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</row>
    <row r="13" spans="4:71" ht="28.5" customHeight="1" thickBot="1">
      <c r="D13" s="114" t="s">
        <v>60</v>
      </c>
      <c r="E13" s="117"/>
      <c r="F13" s="118"/>
      <c r="G13" s="1"/>
      <c r="H13" s="119"/>
      <c r="I13" s="119"/>
      <c r="J13" s="119"/>
      <c r="K13" s="1"/>
      <c r="L13" s="22"/>
      <c r="M13" s="22"/>
      <c r="N13" s="186"/>
      <c r="O13" s="256" t="s">
        <v>192</v>
      </c>
      <c r="P13" s="257"/>
      <c r="Q13" s="257"/>
      <c r="R13" s="218"/>
      <c r="S13" s="219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66"/>
      <c r="AQ13" s="22"/>
      <c r="AR13" s="66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</row>
    <row r="14" spans="4:71" ht="6" customHeight="1" thickBot="1">
      <c r="D14" s="245" t="s">
        <v>185</v>
      </c>
      <c r="E14" s="246"/>
      <c r="O14" s="252"/>
      <c r="P14" s="253"/>
      <c r="Q14" s="253"/>
      <c r="R14" s="220"/>
      <c r="S14" s="221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66"/>
      <c r="AQ14" s="22"/>
      <c r="AR14" s="66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</row>
    <row r="15" spans="4:71" ht="4.5" customHeight="1" thickBot="1">
      <c r="D15" s="247"/>
      <c r="E15" s="246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66"/>
      <c r="AQ15" s="22"/>
      <c r="AR15" s="66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</row>
    <row r="16" spans="4:71" ht="12.75" customHeight="1">
      <c r="D16" s="247"/>
      <c r="E16" s="246"/>
      <c r="F16" s="120" t="s">
        <v>121</v>
      </c>
      <c r="G16" s="121" t="s">
        <v>125</v>
      </c>
      <c r="H16" s="122" t="s">
        <v>66</v>
      </c>
      <c r="J16" s="229" t="s">
        <v>126</v>
      </c>
      <c r="K16" s="230"/>
      <c r="L16" s="231" t="s">
        <v>4</v>
      </c>
      <c r="M16" s="232"/>
      <c r="N16" s="233"/>
      <c r="O16" s="234" t="s">
        <v>167</v>
      </c>
      <c r="P16" s="235"/>
      <c r="Q16" s="236"/>
      <c r="R16" s="237" t="s">
        <v>1</v>
      </c>
      <c r="S16" s="238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66"/>
      <c r="AQ16" s="22"/>
      <c r="AR16" s="66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</row>
    <row r="17" spans="4:71" ht="18" customHeight="1" thickBot="1">
      <c r="D17" s="248"/>
      <c r="E17" s="249"/>
      <c r="F17" s="123" t="s">
        <v>153</v>
      </c>
      <c r="G17" s="124" t="s">
        <v>154</v>
      </c>
      <c r="H17" s="125" t="s">
        <v>155</v>
      </c>
      <c r="I17" s="52">
        <v>2003</v>
      </c>
      <c r="J17" s="126">
        <f>$Y$38</f>
        <v>2010</v>
      </c>
      <c r="K17" s="127">
        <f>$Z$38</f>
        <v>2011</v>
      </c>
      <c r="L17" s="128">
        <f>$Y$38</f>
        <v>2010</v>
      </c>
      <c r="M17" s="129">
        <f>$Z$38</f>
        <v>2011</v>
      </c>
      <c r="N17" s="187" t="s">
        <v>161</v>
      </c>
      <c r="O17" s="141">
        <f>$Y$38</f>
        <v>2010</v>
      </c>
      <c r="P17" s="142">
        <f>$Z$38</f>
        <v>2011</v>
      </c>
      <c r="Q17" s="173" t="s">
        <v>161</v>
      </c>
      <c r="R17" s="130" t="s">
        <v>156</v>
      </c>
      <c r="S17" s="182" t="s">
        <v>161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 s="22"/>
      <c r="BQ17" s="22"/>
      <c r="BR17" s="22"/>
      <c r="BS17" s="22"/>
    </row>
    <row r="18" spans="4:19" ht="4.5" customHeight="1" thickBot="1">
      <c r="D18" s="53"/>
      <c r="E18" s="54"/>
      <c r="F18" s="74"/>
      <c r="G18" s="55"/>
      <c r="H18" s="56"/>
      <c r="I18" s="57"/>
      <c r="J18" s="58"/>
      <c r="K18" s="59"/>
      <c r="L18" s="60"/>
      <c r="M18" s="61"/>
      <c r="N18" s="174"/>
      <c r="O18" s="62"/>
      <c r="P18" s="63"/>
      <c r="Q18" s="174"/>
      <c r="R18" s="64"/>
      <c r="S18" s="174"/>
    </row>
    <row r="19" spans="4:19" ht="21" customHeight="1">
      <c r="D19" s="78" t="s">
        <v>186</v>
      </c>
      <c r="E19" s="200" t="s">
        <v>203</v>
      </c>
      <c r="F19" s="79">
        <f aca="true" t="shared" si="0" ref="F19:F27">VLOOKUP($E19,$E$40:$Q$146,2)</f>
        <v>52272</v>
      </c>
      <c r="G19" s="80">
        <f aca="true" t="shared" si="1" ref="G19:G27">VLOOKUP($E19,$E$40:$Q$146,3)</f>
        <v>40</v>
      </c>
      <c r="H19" s="81">
        <f aca="true" t="shared" si="2" ref="H19:H27">VLOOKUP($E19,$E$40:$Q$146,4)</f>
        <v>4</v>
      </c>
      <c r="I19" s="82">
        <f aca="true" t="shared" si="3" ref="I19:I27">VLOOKUP($E19,$E$40:$Q$146,5)</f>
      </c>
      <c r="J19" s="83">
        <f aca="true" t="shared" si="4" ref="J19:J27">VLOOKUP($E19,$E$40:$S$146,6)</f>
        <v>0</v>
      </c>
      <c r="K19" s="84">
        <f aca="true" t="shared" si="5" ref="K19:K27">VLOOKUP($E19,$E$40:$S$146,7)</f>
        <v>69.35544</v>
      </c>
      <c r="L19" s="85">
        <f aca="true" t="shared" si="6" ref="L19:L27">VLOOKUP($E19,$E$40:$S$146,8)</f>
      </c>
      <c r="M19" s="86">
        <f aca="true" t="shared" si="7" ref="M19:M27">VLOOKUP($E19,$E$40:$S$146,9)</f>
        <v>28.512</v>
      </c>
      <c r="N19" s="188" t="str">
        <f aca="true" t="shared" si="8" ref="N19:N27">VLOOKUP($E19,$E$40:$S$146,10)</f>
        <v>New</v>
      </c>
      <c r="O19" s="87">
        <f aca="true" t="shared" si="9" ref="O19:O27">VLOOKUP($E19,$E$40:$S$146,11)</f>
      </c>
      <c r="P19" s="88">
        <f aca="true" t="shared" si="10" ref="P19:P27">VLOOKUP($E19,$E$40:$S$146,12)</f>
        <v>40.84344</v>
      </c>
      <c r="Q19" s="175" t="str">
        <f aca="true" t="shared" si="11" ref="Q19:Q27">VLOOKUP($E19,$E$40:$S$146,13)</f>
        <v>New</v>
      </c>
      <c r="R19" s="89" t="str">
        <f aca="true" t="shared" si="12" ref="R19:R27">VLOOKUP($E19,$E$40:$S$146,14)</f>
        <v>New</v>
      </c>
      <c r="S19" s="183">
        <f aca="true" t="shared" si="13" ref="S19:S27">VLOOKUP($E19,$E$40:$S$146,15)</f>
      </c>
    </row>
    <row r="20" spans="4:19" ht="21" customHeight="1">
      <c r="D20" s="78" t="s">
        <v>187</v>
      </c>
      <c r="E20" s="201" t="s">
        <v>14</v>
      </c>
      <c r="F20" s="90">
        <f t="shared" si="0"/>
        <v>52272</v>
      </c>
      <c r="G20" s="91">
        <f t="shared" si="1"/>
        <v>40</v>
      </c>
      <c r="H20" s="92">
        <f t="shared" si="2"/>
        <v>4</v>
      </c>
      <c r="I20" s="93">
        <f t="shared" si="3"/>
        <v>58.617820800000004</v>
      </c>
      <c r="J20" s="94">
        <f t="shared" si="4"/>
        <v>63.364118399999995</v>
      </c>
      <c r="K20" s="95">
        <f t="shared" si="5"/>
        <v>61.2732384</v>
      </c>
      <c r="L20" s="96">
        <f t="shared" si="6"/>
        <v>31.143657599999994</v>
      </c>
      <c r="M20" s="97">
        <f t="shared" si="7"/>
        <v>29.052777599999995</v>
      </c>
      <c r="N20" s="189">
        <f t="shared" si="8"/>
        <v>-0.06713662302786172</v>
      </c>
      <c r="O20" s="98">
        <f t="shared" si="9"/>
        <v>32.2204608</v>
      </c>
      <c r="P20" s="99">
        <f t="shared" si="10"/>
        <v>32.2204608</v>
      </c>
      <c r="Q20" s="176">
        <f t="shared" si="11"/>
        <v>0</v>
      </c>
      <c r="R20" s="100">
        <f t="shared" si="12"/>
        <v>-2.0908799999999985</v>
      </c>
      <c r="S20" s="184">
        <f t="shared" si="13"/>
        <v>-0.032997855139415916</v>
      </c>
    </row>
    <row r="21" spans="4:19" ht="21" customHeight="1">
      <c r="D21" s="78" t="s">
        <v>131</v>
      </c>
      <c r="E21" s="201" t="s">
        <v>17</v>
      </c>
      <c r="F21" s="90">
        <f t="shared" si="0"/>
        <v>52272</v>
      </c>
      <c r="G21" s="91">
        <f t="shared" si="1"/>
        <v>40</v>
      </c>
      <c r="H21" s="92">
        <f t="shared" si="2"/>
        <v>4</v>
      </c>
      <c r="I21" s="93">
        <f t="shared" si="3"/>
        <v>68.15814260869564</v>
      </c>
      <c r="J21" s="94">
        <f t="shared" si="4"/>
        <v>69.95357217391305</v>
      </c>
      <c r="K21" s="95">
        <f t="shared" si="5"/>
        <v>69.95357217391305</v>
      </c>
      <c r="L21" s="96">
        <f t="shared" si="6"/>
        <v>29.09050434782609</v>
      </c>
      <c r="M21" s="97">
        <f t="shared" si="7"/>
        <v>29.09050434782609</v>
      </c>
      <c r="N21" s="189">
        <f t="shared" si="8"/>
        <v>0</v>
      </c>
      <c r="O21" s="98">
        <f t="shared" si="9"/>
        <v>40.86306782608696</v>
      </c>
      <c r="P21" s="99">
        <f t="shared" si="10"/>
        <v>40.86306782608696</v>
      </c>
      <c r="Q21" s="176">
        <f t="shared" si="11"/>
        <v>0</v>
      </c>
      <c r="R21" s="100">
        <f t="shared" si="12"/>
        <v>0</v>
      </c>
      <c r="S21" s="184">
        <f t="shared" si="13"/>
        <v>0</v>
      </c>
    </row>
    <row r="22" spans="4:19" ht="21" customHeight="1">
      <c r="D22" s="101" t="s">
        <v>143</v>
      </c>
      <c r="E22" s="199" t="s">
        <v>76</v>
      </c>
      <c r="F22" s="90">
        <f t="shared" si="0"/>
        <v>52272</v>
      </c>
      <c r="G22" s="91">
        <f t="shared" si="1"/>
        <v>40</v>
      </c>
      <c r="H22" s="92">
        <f t="shared" si="2"/>
        <v>4</v>
      </c>
      <c r="I22" s="93">
        <f t="shared" si="3"/>
        <v>67.47633391304348</v>
      </c>
      <c r="J22" s="94">
        <f t="shared" si="4"/>
        <v>65.63545043478261</v>
      </c>
      <c r="K22" s="95">
        <f t="shared" si="5"/>
        <v>66.0899895652174</v>
      </c>
      <c r="L22" s="96">
        <f t="shared" si="6"/>
        <v>24.772382608695654</v>
      </c>
      <c r="M22" s="97">
        <f t="shared" si="7"/>
        <v>25.226921739130436</v>
      </c>
      <c r="N22" s="189">
        <f t="shared" si="8"/>
        <v>0.0183486238532109</v>
      </c>
      <c r="O22" s="98">
        <f t="shared" si="9"/>
        <v>40.86306782608696</v>
      </c>
      <c r="P22" s="99">
        <f t="shared" si="10"/>
        <v>40.86306782608696</v>
      </c>
      <c r="Q22" s="176">
        <f t="shared" si="11"/>
        <v>0</v>
      </c>
      <c r="R22" s="100">
        <f t="shared" si="12"/>
        <v>0.45453913043478167</v>
      </c>
      <c r="S22" s="184">
        <f t="shared" si="13"/>
        <v>0.006925207756232672</v>
      </c>
    </row>
    <row r="23" spans="4:19" ht="21" customHeight="1">
      <c r="D23" s="102" t="s">
        <v>188</v>
      </c>
      <c r="E23" s="103" t="s">
        <v>82</v>
      </c>
      <c r="F23" s="90">
        <f t="shared" si="0"/>
        <v>52272</v>
      </c>
      <c r="G23" s="91">
        <f t="shared" si="1"/>
        <v>40</v>
      </c>
      <c r="H23" s="92">
        <f t="shared" si="2"/>
        <v>4</v>
      </c>
      <c r="I23" s="93">
        <f t="shared" si="3"/>
        <v>66.7945252173913</v>
      </c>
      <c r="J23" s="94">
        <f t="shared" si="4"/>
        <v>71.54445913043479</v>
      </c>
      <c r="K23" s="95">
        <f t="shared" si="5"/>
        <v>72.45353739130435</v>
      </c>
      <c r="L23" s="96">
        <f t="shared" si="6"/>
        <v>30.68139130434783</v>
      </c>
      <c r="M23" s="97">
        <f t="shared" si="7"/>
        <v>31.590469565217393</v>
      </c>
      <c r="N23" s="189">
        <f t="shared" si="8"/>
        <v>0.029629629629629672</v>
      </c>
      <c r="O23" s="98">
        <f t="shared" si="9"/>
        <v>40.86306782608696</v>
      </c>
      <c r="P23" s="99">
        <f t="shared" si="10"/>
        <v>40.86306782608696</v>
      </c>
      <c r="Q23" s="176">
        <f t="shared" si="11"/>
        <v>0</v>
      </c>
      <c r="R23" s="100">
        <f t="shared" si="12"/>
        <v>0.9090782608695633</v>
      </c>
      <c r="S23" s="184">
        <f t="shared" si="13"/>
        <v>0.0127064803049555</v>
      </c>
    </row>
    <row r="24" spans="4:19" ht="21" customHeight="1">
      <c r="D24" s="102" t="s">
        <v>92</v>
      </c>
      <c r="E24" s="103" t="s">
        <v>78</v>
      </c>
      <c r="F24" s="90">
        <f t="shared" si="0"/>
        <v>52272</v>
      </c>
      <c r="G24" s="91">
        <f t="shared" si="1"/>
        <v>40</v>
      </c>
      <c r="H24" s="92">
        <f t="shared" si="2"/>
        <v>4</v>
      </c>
      <c r="I24" s="93">
        <f t="shared" si="3"/>
        <v>67.7549664</v>
      </c>
      <c r="J24" s="94">
        <f t="shared" si="4"/>
        <v>71.99945279999999</v>
      </c>
      <c r="K24" s="95">
        <f t="shared" si="5"/>
        <v>69.90857279999999</v>
      </c>
      <c r="L24" s="96">
        <f t="shared" si="6"/>
        <v>31.143657599999994</v>
      </c>
      <c r="M24" s="97">
        <f t="shared" si="7"/>
        <v>29.052777599999995</v>
      </c>
      <c r="N24" s="189">
        <f t="shared" si="8"/>
        <v>-0.06713662302786172</v>
      </c>
      <c r="O24" s="98">
        <f t="shared" si="9"/>
        <v>40.855795199999996</v>
      </c>
      <c r="P24" s="99">
        <f t="shared" si="10"/>
        <v>40.855795199999996</v>
      </c>
      <c r="Q24" s="176">
        <f t="shared" si="11"/>
        <v>0</v>
      </c>
      <c r="R24" s="100">
        <f t="shared" si="12"/>
        <v>-2.0908799999999985</v>
      </c>
      <c r="S24" s="184">
        <f t="shared" si="13"/>
        <v>-0.02904022070567735</v>
      </c>
    </row>
    <row r="25" spans="4:19" ht="21" customHeight="1">
      <c r="D25" s="102" t="s">
        <v>158</v>
      </c>
      <c r="E25" s="103" t="s">
        <v>88</v>
      </c>
      <c r="F25" s="90">
        <f t="shared" si="0"/>
        <v>52272</v>
      </c>
      <c r="G25" s="91">
        <f t="shared" si="1"/>
        <v>40</v>
      </c>
      <c r="H25" s="92">
        <f t="shared" si="2"/>
        <v>4</v>
      </c>
      <c r="I25" s="93">
        <f t="shared" si="3"/>
      </c>
      <c r="J25" s="94">
        <f t="shared" si="4"/>
        <v>13.612499999999999</v>
      </c>
      <c r="K25" s="95">
        <f t="shared" si="5"/>
        <v>13.068</v>
      </c>
      <c r="L25" s="96">
        <f t="shared" si="6"/>
        <v>13.612499999999999</v>
      </c>
      <c r="M25" s="97">
        <f t="shared" si="7"/>
        <v>13.068</v>
      </c>
      <c r="N25" s="189">
        <f t="shared" si="8"/>
        <v>-0.039999999999999925</v>
      </c>
      <c r="O25" s="98">
        <f t="shared" si="9"/>
        <v>0</v>
      </c>
      <c r="P25" s="99">
        <f t="shared" si="10"/>
        <v>0</v>
      </c>
      <c r="Q25" s="176">
        <f t="shared" si="11"/>
      </c>
      <c r="R25" s="100">
        <f t="shared" si="12"/>
        <v>-0.5444999999999993</v>
      </c>
      <c r="S25" s="184">
        <f t="shared" si="13"/>
        <v>-0.03999999999999995</v>
      </c>
    </row>
    <row r="26" spans="4:19" ht="21" customHeight="1">
      <c r="D26" s="102" t="s">
        <v>159</v>
      </c>
      <c r="E26" s="103" t="s">
        <v>22</v>
      </c>
      <c r="F26" s="90">
        <f t="shared" si="0"/>
        <v>52272</v>
      </c>
      <c r="G26" s="91">
        <f t="shared" si="1"/>
        <v>40</v>
      </c>
      <c r="H26" s="92">
        <f t="shared" si="2"/>
        <v>4</v>
      </c>
      <c r="I26" s="93">
        <f t="shared" si="3"/>
        <v>68.15814260869564</v>
      </c>
      <c r="J26" s="94">
        <f t="shared" si="4"/>
        <v>65.40818086956523</v>
      </c>
      <c r="K26" s="95">
        <f t="shared" si="5"/>
        <v>65.40818086956523</v>
      </c>
      <c r="L26" s="96">
        <f t="shared" si="6"/>
        <v>24.545113043478263</v>
      </c>
      <c r="M26" s="97">
        <f t="shared" si="7"/>
        <v>24.545113043478263</v>
      </c>
      <c r="N26" s="189">
        <f t="shared" si="8"/>
        <v>0</v>
      </c>
      <c r="O26" s="98">
        <f t="shared" si="9"/>
        <v>40.86306782608696</v>
      </c>
      <c r="P26" s="99">
        <f t="shared" si="10"/>
        <v>40.86306782608696</v>
      </c>
      <c r="Q26" s="176">
        <f t="shared" si="11"/>
        <v>0</v>
      </c>
      <c r="R26" s="100">
        <f t="shared" si="12"/>
        <v>0</v>
      </c>
      <c r="S26" s="184">
        <f t="shared" si="13"/>
        <v>0</v>
      </c>
    </row>
    <row r="27" spans="4:19" ht="21" customHeight="1" thickBot="1">
      <c r="D27" s="104" t="s">
        <v>160</v>
      </c>
      <c r="E27" s="105" t="s">
        <v>204</v>
      </c>
      <c r="F27" s="106">
        <f t="shared" si="0"/>
        <v>52272</v>
      </c>
      <c r="G27" s="91">
        <f t="shared" si="1"/>
        <v>40</v>
      </c>
      <c r="H27" s="92">
        <f t="shared" si="2"/>
        <v>4</v>
      </c>
      <c r="I27" s="93">
        <f t="shared" si="3"/>
        <v>56.7864</v>
      </c>
      <c r="J27" s="107">
        <f t="shared" si="4"/>
        <v>52.41456000000001</v>
      </c>
      <c r="K27" s="108">
        <f t="shared" si="5"/>
        <v>52.41456000000001</v>
      </c>
      <c r="L27" s="109">
        <f t="shared" si="6"/>
        <v>20.196</v>
      </c>
      <c r="M27" s="110">
        <f t="shared" si="7"/>
        <v>20.196</v>
      </c>
      <c r="N27" s="190">
        <f t="shared" si="8"/>
        <v>0</v>
      </c>
      <c r="O27" s="111">
        <f t="shared" si="9"/>
        <v>32.218560000000004</v>
      </c>
      <c r="P27" s="112">
        <f t="shared" si="10"/>
        <v>32.218560000000004</v>
      </c>
      <c r="Q27" s="177">
        <f t="shared" si="11"/>
        <v>0</v>
      </c>
      <c r="R27" s="113">
        <f t="shared" si="12"/>
        <v>0</v>
      </c>
      <c r="S27" s="185">
        <f t="shared" si="13"/>
        <v>0</v>
      </c>
    </row>
    <row r="28" spans="3:65" s="4" customFormat="1" ht="6.75" customHeight="1">
      <c r="C28" s="41"/>
      <c r="D28" s="41"/>
      <c r="E28" s="41"/>
      <c r="F28" s="75"/>
      <c r="G28" s="41"/>
      <c r="H28" s="41"/>
      <c r="I28" s="42"/>
      <c r="J28" s="13"/>
      <c r="K28" s="13"/>
      <c r="L28" s="44"/>
      <c r="M28" s="44"/>
      <c r="N28" s="179"/>
      <c r="O28" s="45"/>
      <c r="P28" s="46"/>
      <c r="Q28" s="178"/>
      <c r="R28" s="43"/>
      <c r="S28" s="179"/>
      <c r="T28" s="3"/>
      <c r="U28" s="41"/>
      <c r="W28" s="3"/>
      <c r="X28" s="12"/>
      <c r="Y28" s="12"/>
      <c r="Z28" s="12"/>
      <c r="AA28" s="12"/>
      <c r="AB28" s="12"/>
      <c r="AC28" s="12"/>
      <c r="AD28" s="12"/>
      <c r="AE28" s="12"/>
      <c r="AF28" s="12"/>
      <c r="AG28" s="13"/>
      <c r="AH28" s="13"/>
      <c r="AI28" s="13"/>
      <c r="AJ28" s="12"/>
      <c r="AK28" s="12"/>
      <c r="AL28" s="12"/>
      <c r="AM28" s="12"/>
      <c r="AN28" s="12"/>
      <c r="AO28" s="12"/>
      <c r="AP28" s="65"/>
      <c r="AQ28" s="12"/>
      <c r="AR28" s="65"/>
      <c r="AS28" s="12"/>
      <c r="AT28" s="13"/>
      <c r="AU28" s="13"/>
      <c r="AV28" s="13"/>
      <c r="AW28" s="13"/>
      <c r="AX28" s="13"/>
      <c r="AY28" s="3"/>
      <c r="AZ28" s="3"/>
      <c r="BA28" s="12"/>
      <c r="BB28" s="12"/>
      <c r="BC28" s="12"/>
      <c r="BD28" s="12"/>
      <c r="BE28" s="12"/>
      <c r="BH28" s="12"/>
      <c r="BM28" s="14"/>
    </row>
    <row r="29" spans="4:65" s="4" customFormat="1" ht="13.5" customHeight="1">
      <c r="D29" s="4" t="s">
        <v>9</v>
      </c>
      <c r="F29" s="76"/>
      <c r="G29" s="48"/>
      <c r="H29" s="49"/>
      <c r="I29" s="42"/>
      <c r="J29" s="13"/>
      <c r="K29" s="13"/>
      <c r="L29" s="44"/>
      <c r="M29" s="44"/>
      <c r="N29" s="179"/>
      <c r="O29" s="45"/>
      <c r="P29" s="46"/>
      <c r="Q29" s="178"/>
      <c r="R29" s="43"/>
      <c r="S29" s="179"/>
      <c r="T29" s="3"/>
      <c r="W29" s="3"/>
      <c r="X29" s="12"/>
      <c r="Y29" s="12"/>
      <c r="Z29" s="12"/>
      <c r="AA29" s="12"/>
      <c r="AB29" s="12"/>
      <c r="AC29" s="12"/>
      <c r="AD29" s="12"/>
      <c r="AE29" s="12"/>
      <c r="AF29" s="12"/>
      <c r="AG29" s="13"/>
      <c r="AH29" s="13"/>
      <c r="AI29" s="13"/>
      <c r="AJ29" s="12"/>
      <c r="AK29" s="12"/>
      <c r="AL29" s="12"/>
      <c r="AM29" s="12"/>
      <c r="AN29" s="12"/>
      <c r="AO29" s="12"/>
      <c r="AP29" s="65"/>
      <c r="AQ29" s="12"/>
      <c r="AR29" s="65"/>
      <c r="AS29" s="12"/>
      <c r="AT29" s="13"/>
      <c r="AU29" s="13"/>
      <c r="AV29" s="13"/>
      <c r="AW29" s="13"/>
      <c r="AX29" s="13"/>
      <c r="AY29" s="3"/>
      <c r="AZ29" s="3"/>
      <c r="BA29" s="12"/>
      <c r="BB29" s="12"/>
      <c r="BC29" s="12"/>
      <c r="BD29" s="12"/>
      <c r="BE29" s="12"/>
      <c r="BH29" s="12"/>
      <c r="BM29" s="14"/>
    </row>
    <row r="30" spans="1:65" s="165" customFormat="1" ht="18" customHeight="1">
      <c r="A30" s="198"/>
      <c r="B30" s="198"/>
      <c r="C30" s="198"/>
      <c r="D30" s="4" t="s">
        <v>168</v>
      </c>
      <c r="E30" s="4"/>
      <c r="F30" s="76"/>
      <c r="G30" s="48"/>
      <c r="H30" s="49"/>
      <c r="I30" s="42"/>
      <c r="J30" s="13"/>
      <c r="K30" s="13"/>
      <c r="L30" s="44"/>
      <c r="M30" s="44"/>
      <c r="N30" s="179"/>
      <c r="O30" s="45"/>
      <c r="P30" s="46"/>
      <c r="Q30" s="179"/>
      <c r="R30" s="43"/>
      <c r="S30" s="179"/>
      <c r="T30" s="198"/>
      <c r="U30" s="198"/>
      <c r="V30" s="198"/>
      <c r="W30" s="198"/>
      <c r="X30" s="167"/>
      <c r="Y30" s="167"/>
      <c r="Z30" s="167"/>
      <c r="AA30" s="167"/>
      <c r="AB30" s="167"/>
      <c r="AC30" s="167"/>
      <c r="AD30" s="167"/>
      <c r="AE30" s="167"/>
      <c r="AF30" s="167"/>
      <c r="AG30" s="168"/>
      <c r="AH30" s="168"/>
      <c r="AI30" s="168"/>
      <c r="AJ30" s="167"/>
      <c r="AK30" s="167"/>
      <c r="AL30" s="167"/>
      <c r="AM30" s="167"/>
      <c r="AN30" s="167"/>
      <c r="AO30" s="167"/>
      <c r="AP30" s="169"/>
      <c r="AQ30" s="167"/>
      <c r="AR30" s="169"/>
      <c r="AS30" s="167"/>
      <c r="AT30" s="168"/>
      <c r="AU30" s="168"/>
      <c r="AV30" s="168"/>
      <c r="AW30" s="168"/>
      <c r="AX30" s="168"/>
      <c r="AY30" s="166"/>
      <c r="AZ30" s="166"/>
      <c r="BA30" s="167"/>
      <c r="BB30" s="167"/>
      <c r="BC30" s="167"/>
      <c r="BD30" s="167"/>
      <c r="BE30" s="167"/>
      <c r="BH30" s="167"/>
      <c r="BM30" s="170"/>
    </row>
    <row r="31" spans="4:65" s="165" customFormat="1" ht="18" customHeight="1">
      <c r="D31" s="4" t="s">
        <v>91</v>
      </c>
      <c r="E31" s="4"/>
      <c r="F31" s="76"/>
      <c r="G31" s="48"/>
      <c r="H31" s="49"/>
      <c r="I31" s="42"/>
      <c r="J31" s="13"/>
      <c r="K31" s="13"/>
      <c r="L31" s="44"/>
      <c r="M31" s="44"/>
      <c r="N31" s="179"/>
      <c r="O31" s="45"/>
      <c r="P31" s="46"/>
      <c r="Q31" s="179"/>
      <c r="R31" s="43"/>
      <c r="S31" s="179"/>
      <c r="T31" s="166"/>
      <c r="W31" s="166"/>
      <c r="X31" s="167"/>
      <c r="Y31" s="167"/>
      <c r="Z31" s="167"/>
      <c r="AA31" s="167"/>
      <c r="AB31" s="167"/>
      <c r="AC31" s="167"/>
      <c r="AD31" s="167"/>
      <c r="AE31" s="167"/>
      <c r="AF31" s="167"/>
      <c r="AG31" s="168"/>
      <c r="AH31" s="168"/>
      <c r="AI31" s="168"/>
      <c r="AJ31" s="167"/>
      <c r="AK31" s="167"/>
      <c r="AL31" s="167"/>
      <c r="AM31" s="167"/>
      <c r="AN31" s="167"/>
      <c r="AO31" s="167"/>
      <c r="AP31" s="169"/>
      <c r="AQ31" s="167"/>
      <c r="AR31" s="169"/>
      <c r="AS31" s="167"/>
      <c r="AT31" s="168"/>
      <c r="AU31" s="168"/>
      <c r="AV31" s="168"/>
      <c r="AW31" s="168"/>
      <c r="AX31" s="168"/>
      <c r="AY31" s="166"/>
      <c r="AZ31" s="166"/>
      <c r="BA31" s="167"/>
      <c r="BB31" s="167"/>
      <c r="BC31" s="167"/>
      <c r="BD31" s="167"/>
      <c r="BE31" s="167"/>
      <c r="BH31" s="167"/>
      <c r="BM31" s="170"/>
    </row>
    <row r="32" spans="4:65" s="165" customFormat="1" ht="18" customHeight="1">
      <c r="D32" s="4" t="s">
        <v>113</v>
      </c>
      <c r="E32" s="4"/>
      <c r="F32" s="76"/>
      <c r="G32" s="48"/>
      <c r="H32" s="49"/>
      <c r="I32" s="42"/>
      <c r="J32" s="13"/>
      <c r="K32" s="13"/>
      <c r="L32" s="44"/>
      <c r="M32" s="44"/>
      <c r="N32" s="179"/>
      <c r="O32" s="45"/>
      <c r="P32" s="46"/>
      <c r="Q32" s="179"/>
      <c r="R32" s="43"/>
      <c r="S32" s="179"/>
      <c r="T32" s="166"/>
      <c r="W32" s="166"/>
      <c r="X32" s="167"/>
      <c r="Y32" s="167"/>
      <c r="Z32" s="167"/>
      <c r="AA32" s="167"/>
      <c r="AB32" s="167"/>
      <c r="AC32" s="167"/>
      <c r="AD32" s="167"/>
      <c r="AE32" s="167"/>
      <c r="AF32" s="167"/>
      <c r="AG32" s="168"/>
      <c r="AH32" s="168"/>
      <c r="AI32" s="168"/>
      <c r="AJ32" s="167"/>
      <c r="AK32" s="167"/>
      <c r="AL32" s="167"/>
      <c r="AM32" s="167"/>
      <c r="AN32" s="167"/>
      <c r="AO32" s="167"/>
      <c r="AP32" s="169"/>
      <c r="AQ32" s="167"/>
      <c r="AR32" s="169"/>
      <c r="AS32" s="167"/>
      <c r="AT32" s="168"/>
      <c r="AU32" s="168"/>
      <c r="AV32" s="168"/>
      <c r="AW32" s="168"/>
      <c r="AX32" s="168"/>
      <c r="AY32" s="166"/>
      <c r="AZ32" s="166"/>
      <c r="BA32" s="167"/>
      <c r="BB32" s="167"/>
      <c r="BC32" s="167"/>
      <c r="BD32" s="167"/>
      <c r="BE32" s="167"/>
      <c r="BH32" s="167"/>
      <c r="BM32" s="170"/>
    </row>
    <row r="33" spans="4:65" s="165" customFormat="1" ht="18.75" customHeight="1">
      <c r="D33" s="222" t="s">
        <v>201</v>
      </c>
      <c r="E33" s="4"/>
      <c r="F33" s="76"/>
      <c r="G33" s="48"/>
      <c r="H33" s="49"/>
      <c r="I33" s="42"/>
      <c r="J33" s="13"/>
      <c r="K33" s="13"/>
      <c r="L33" s="44"/>
      <c r="M33" s="44"/>
      <c r="N33" s="179"/>
      <c r="O33" s="45"/>
      <c r="P33" s="46"/>
      <c r="Q33" s="179"/>
      <c r="R33" s="43"/>
      <c r="S33" s="179"/>
      <c r="T33" s="166"/>
      <c r="W33" s="166"/>
      <c r="X33" s="167"/>
      <c r="Y33" s="167"/>
      <c r="Z33" s="167"/>
      <c r="AA33" s="167"/>
      <c r="AB33" s="167"/>
      <c r="AC33" s="167"/>
      <c r="AD33" s="167"/>
      <c r="AE33" s="167"/>
      <c r="AF33" s="167"/>
      <c r="AG33" s="168"/>
      <c r="AH33" s="168"/>
      <c r="AI33" s="168"/>
      <c r="AJ33" s="167"/>
      <c r="AK33" s="167"/>
      <c r="AL33" s="167"/>
      <c r="AM33" s="167"/>
      <c r="AN33" s="167"/>
      <c r="AO33" s="167"/>
      <c r="AP33" s="169"/>
      <c r="AQ33" s="167"/>
      <c r="AR33" s="169"/>
      <c r="AS33" s="167"/>
      <c r="AT33" s="168"/>
      <c r="AU33" s="168"/>
      <c r="AV33" s="168"/>
      <c r="AW33" s="168"/>
      <c r="AX33" s="168"/>
      <c r="AY33" s="166"/>
      <c r="AZ33" s="166"/>
      <c r="BA33" s="167"/>
      <c r="BB33" s="167"/>
      <c r="BC33" s="167"/>
      <c r="BD33" s="167"/>
      <c r="BE33" s="167"/>
      <c r="BH33" s="167"/>
      <c r="BM33" s="170"/>
    </row>
    <row r="34" spans="4:65" s="165" customFormat="1" ht="9" customHeight="1"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166"/>
      <c r="W34" s="166"/>
      <c r="X34" s="167"/>
      <c r="Y34" s="167"/>
      <c r="Z34" s="167"/>
      <c r="AA34" s="167"/>
      <c r="AB34" s="167"/>
      <c r="AC34" s="167"/>
      <c r="AD34" s="167"/>
      <c r="AE34" s="167"/>
      <c r="AF34" s="167"/>
      <c r="AG34" s="168"/>
      <c r="AH34" s="168"/>
      <c r="AI34" s="168"/>
      <c r="AJ34" s="167"/>
      <c r="AK34" s="167"/>
      <c r="AL34" s="167"/>
      <c r="AM34" s="167"/>
      <c r="AN34" s="167"/>
      <c r="AO34" s="167"/>
      <c r="AP34" s="169"/>
      <c r="AQ34" s="167"/>
      <c r="AR34" s="169"/>
      <c r="AS34" s="167"/>
      <c r="AT34" s="168"/>
      <c r="AU34" s="168"/>
      <c r="AV34" s="168"/>
      <c r="AW34" s="168"/>
      <c r="AX34" s="168"/>
      <c r="AY34" s="166"/>
      <c r="AZ34" s="166"/>
      <c r="BA34" s="167"/>
      <c r="BB34" s="167"/>
      <c r="BC34" s="167"/>
      <c r="BD34" s="167"/>
      <c r="BE34" s="167"/>
      <c r="BH34" s="167"/>
      <c r="BM34" s="170"/>
    </row>
    <row r="35" spans="4:65" s="4" customFormat="1" ht="9" customHeight="1" thickBot="1"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3"/>
      <c r="W35" s="3"/>
      <c r="X35" s="12"/>
      <c r="Y35" s="12"/>
      <c r="Z35" s="12"/>
      <c r="AA35" s="12"/>
      <c r="AB35" s="12"/>
      <c r="AC35" s="12"/>
      <c r="AD35" s="12"/>
      <c r="AE35" s="12"/>
      <c r="AF35" s="12"/>
      <c r="AG35" s="13"/>
      <c r="AH35" s="13"/>
      <c r="AI35" s="13"/>
      <c r="AJ35" s="12"/>
      <c r="AK35" s="12"/>
      <c r="AL35" s="12"/>
      <c r="AM35" s="12"/>
      <c r="AN35" s="12"/>
      <c r="AO35" s="12"/>
      <c r="AP35" s="65"/>
      <c r="AQ35" s="12"/>
      <c r="AR35" s="65"/>
      <c r="AS35" s="12"/>
      <c r="AT35" s="13"/>
      <c r="AU35" s="13"/>
      <c r="AV35" s="13"/>
      <c r="AW35" s="13"/>
      <c r="AX35" s="13"/>
      <c r="AY35" s="3"/>
      <c r="AZ35" s="3"/>
      <c r="BA35" s="12"/>
      <c r="BB35" s="12"/>
      <c r="BC35" s="12"/>
      <c r="BD35" s="12"/>
      <c r="BE35" s="12"/>
      <c r="BH35" s="12"/>
      <c r="BM35" s="14"/>
    </row>
    <row r="36" spans="4:19" ht="27.75" customHeight="1" thickBot="1" thickTop="1">
      <c r="D36" s="193" t="s">
        <v>86</v>
      </c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5"/>
    </row>
    <row r="37" spans="4:61" ht="18" customHeight="1">
      <c r="D37" s="131"/>
      <c r="E37" s="132"/>
      <c r="F37" s="120" t="s">
        <v>121</v>
      </c>
      <c r="G37" s="121" t="s">
        <v>125</v>
      </c>
      <c r="H37" s="133" t="s">
        <v>66</v>
      </c>
      <c r="I37" s="134" t="s">
        <v>126</v>
      </c>
      <c r="J37" s="229" t="s">
        <v>126</v>
      </c>
      <c r="K37" s="230"/>
      <c r="L37" s="231" t="s">
        <v>4</v>
      </c>
      <c r="M37" s="232"/>
      <c r="N37" s="233"/>
      <c r="O37" s="234" t="s">
        <v>167</v>
      </c>
      <c r="P37" s="235"/>
      <c r="Q37" s="236"/>
      <c r="R37" s="237" t="s">
        <v>0</v>
      </c>
      <c r="S37" s="238"/>
      <c r="T37" s="1"/>
      <c r="W37" s="1"/>
      <c r="X37" s="23" t="s">
        <v>62</v>
      </c>
      <c r="Y37" s="23" t="s">
        <v>62</v>
      </c>
      <c r="Z37" s="23" t="s">
        <v>62</v>
      </c>
      <c r="AA37" s="23" t="s">
        <v>63</v>
      </c>
      <c r="AB37" s="23"/>
      <c r="AC37" s="23" t="s">
        <v>63</v>
      </c>
      <c r="AD37" s="23"/>
      <c r="AE37" s="23" t="s">
        <v>63</v>
      </c>
      <c r="AF37" s="23"/>
      <c r="AG37" s="24" t="s">
        <v>64</v>
      </c>
      <c r="AH37" s="24" t="s">
        <v>64</v>
      </c>
      <c r="AI37" s="24" t="s">
        <v>64</v>
      </c>
      <c r="AJ37" s="135" t="s">
        <v>41</v>
      </c>
      <c r="AK37" s="26"/>
      <c r="AL37" s="135" t="s">
        <v>225</v>
      </c>
      <c r="AM37" s="26"/>
      <c r="AN37" s="135" t="s">
        <v>146</v>
      </c>
      <c r="AO37" s="26"/>
      <c r="AP37" s="67">
        <v>2009</v>
      </c>
      <c r="AQ37" s="23" t="s">
        <v>147</v>
      </c>
      <c r="AR37" s="67">
        <v>2010</v>
      </c>
      <c r="AS37" s="23" t="s">
        <v>148</v>
      </c>
      <c r="AT37" s="239" t="s">
        <v>31</v>
      </c>
      <c r="AU37" s="240"/>
      <c r="AV37" s="241"/>
      <c r="AW37" s="242" t="s">
        <v>32</v>
      </c>
      <c r="AX37" s="243"/>
      <c r="AY37" s="244"/>
      <c r="AZ37" s="13" t="s">
        <v>195</v>
      </c>
      <c r="BA37" s="136">
        <v>2011</v>
      </c>
      <c r="BB37" s="136">
        <v>2011</v>
      </c>
      <c r="BC37" s="136">
        <v>2011</v>
      </c>
      <c r="BD37" s="136">
        <v>2011</v>
      </c>
      <c r="BE37" s="136">
        <v>2011</v>
      </c>
      <c r="BF37" s="136">
        <v>2010</v>
      </c>
      <c r="BG37" s="136">
        <v>2010</v>
      </c>
      <c r="BH37" s="136">
        <v>2010</v>
      </c>
      <c r="BI37" s="136">
        <v>2010</v>
      </c>
    </row>
    <row r="38" spans="4:65" ht="18" customHeight="1" thickBot="1">
      <c r="D38" s="137" t="s">
        <v>151</v>
      </c>
      <c r="E38" s="138" t="s">
        <v>152</v>
      </c>
      <c r="F38" s="123" t="s">
        <v>153</v>
      </c>
      <c r="G38" s="124" t="s">
        <v>154</v>
      </c>
      <c r="H38" s="139" t="s">
        <v>155</v>
      </c>
      <c r="I38" s="140">
        <v>2003</v>
      </c>
      <c r="J38" s="126">
        <f>$Y$38</f>
        <v>2010</v>
      </c>
      <c r="K38" s="127">
        <f>$Z$38</f>
        <v>2011</v>
      </c>
      <c r="L38" s="128">
        <f>$Y$38</f>
        <v>2010</v>
      </c>
      <c r="M38" s="129">
        <f>$Z$38</f>
        <v>2011</v>
      </c>
      <c r="N38" s="187" t="s">
        <v>161</v>
      </c>
      <c r="O38" s="141">
        <f>$Y$38</f>
        <v>2010</v>
      </c>
      <c r="P38" s="142">
        <f>$Z$38</f>
        <v>2011</v>
      </c>
      <c r="Q38" s="173" t="s">
        <v>161</v>
      </c>
      <c r="R38" s="130" t="s">
        <v>156</v>
      </c>
      <c r="S38" s="182" t="s">
        <v>161</v>
      </c>
      <c r="X38" s="143">
        <v>2009</v>
      </c>
      <c r="Y38" s="143">
        <v>2010</v>
      </c>
      <c r="Z38" s="143">
        <v>2011</v>
      </c>
      <c r="AA38" s="26">
        <v>2009</v>
      </c>
      <c r="AB38" s="26" t="s">
        <v>84</v>
      </c>
      <c r="AC38" s="26">
        <v>2010</v>
      </c>
      <c r="AD38" s="26" t="s">
        <v>224</v>
      </c>
      <c r="AE38" s="26">
        <v>2011</v>
      </c>
      <c r="AF38" s="26" t="s">
        <v>145</v>
      </c>
      <c r="AG38" s="143">
        <v>2009</v>
      </c>
      <c r="AH38" s="143">
        <v>2010</v>
      </c>
      <c r="AI38" s="143">
        <v>2011</v>
      </c>
      <c r="AJ38" s="26" t="s">
        <v>165</v>
      </c>
      <c r="AK38" s="26" t="s">
        <v>65</v>
      </c>
      <c r="AL38" s="26" t="s">
        <v>165</v>
      </c>
      <c r="AM38" s="26" t="s">
        <v>65</v>
      </c>
      <c r="AN38" s="26" t="s">
        <v>165</v>
      </c>
      <c r="AO38" s="26" t="s">
        <v>65</v>
      </c>
      <c r="AP38" s="67" t="s">
        <v>65</v>
      </c>
      <c r="AQ38" s="23" t="s">
        <v>226</v>
      </c>
      <c r="AR38" s="67" t="s">
        <v>65</v>
      </c>
      <c r="AS38" s="23" t="s">
        <v>227</v>
      </c>
      <c r="AT38" s="28" t="s">
        <v>66</v>
      </c>
      <c r="AU38" s="28" t="s">
        <v>63</v>
      </c>
      <c r="AV38" s="28" t="s">
        <v>64</v>
      </c>
      <c r="AW38" s="24" t="s">
        <v>66</v>
      </c>
      <c r="AX38" s="24" t="s">
        <v>63</v>
      </c>
      <c r="AY38" s="24" t="s">
        <v>67</v>
      </c>
      <c r="AZ38" s="13" t="s">
        <v>196</v>
      </c>
      <c r="BA38" s="5" t="s">
        <v>162</v>
      </c>
      <c r="BB38" s="5" t="s">
        <v>153</v>
      </c>
      <c r="BC38" s="5" t="s">
        <v>163</v>
      </c>
      <c r="BD38" s="5" t="s">
        <v>237</v>
      </c>
      <c r="BE38" s="5" t="s">
        <v>117</v>
      </c>
      <c r="BF38" s="5" t="s">
        <v>162</v>
      </c>
      <c r="BG38" s="5" t="s">
        <v>238</v>
      </c>
      <c r="BH38" s="5" t="s">
        <v>163</v>
      </c>
      <c r="BI38" s="1" t="s">
        <v>239</v>
      </c>
      <c r="BK38" s="1" t="s">
        <v>118</v>
      </c>
      <c r="BL38" s="1" t="s">
        <v>119</v>
      </c>
      <c r="BM38" s="7" t="s">
        <v>120</v>
      </c>
    </row>
    <row r="39" spans="4:52" ht="4.5" customHeight="1" thickBot="1">
      <c r="D39" s="53"/>
      <c r="E39" s="144"/>
      <c r="F39" s="74"/>
      <c r="G39" s="55"/>
      <c r="H39" s="56"/>
      <c r="I39" s="57"/>
      <c r="J39" s="58"/>
      <c r="K39" s="59"/>
      <c r="L39" s="60"/>
      <c r="M39" s="61"/>
      <c r="N39" s="174"/>
      <c r="O39" s="62"/>
      <c r="P39" s="63"/>
      <c r="Q39" s="174"/>
      <c r="R39" s="64"/>
      <c r="S39" s="174"/>
      <c r="X39" s="145"/>
      <c r="Y39" s="145"/>
      <c r="Z39" s="145"/>
      <c r="AA39" s="145"/>
      <c r="AB39" s="145"/>
      <c r="AC39" s="145"/>
      <c r="AD39" s="145"/>
      <c r="AE39" s="145"/>
      <c r="AF39" s="145"/>
      <c r="AG39" s="146"/>
      <c r="AH39" s="146"/>
      <c r="AI39" s="146"/>
      <c r="AJ39" s="145"/>
      <c r="AK39" s="145"/>
      <c r="AL39" s="145"/>
      <c r="AM39" s="145"/>
      <c r="AN39" s="145"/>
      <c r="AO39" s="145"/>
      <c r="AP39" s="147"/>
      <c r="AQ39" s="145"/>
      <c r="AR39" s="147"/>
      <c r="AS39" s="145"/>
      <c r="AT39" s="146"/>
      <c r="AU39" s="146"/>
      <c r="AV39" s="146"/>
      <c r="AW39" s="146"/>
      <c r="AX39" s="146"/>
      <c r="AY39" s="146"/>
      <c r="AZ39" s="148"/>
    </row>
    <row r="40" spans="2:66" ht="18" customHeight="1">
      <c r="B40" s="4" t="s">
        <v>12</v>
      </c>
      <c r="C40" s="4" t="s">
        <v>96</v>
      </c>
      <c r="D40" s="157" t="s">
        <v>191</v>
      </c>
      <c r="E40" s="158" t="s">
        <v>229</v>
      </c>
      <c r="F40" s="79">
        <f aca="true" t="shared" si="14" ref="F40:F70">IF($J$11&gt;0,$J$11,$M$11)</f>
        <v>52272</v>
      </c>
      <c r="G40" s="80">
        <f aca="true" t="shared" si="15" ref="G40:G70">$K$11</f>
        <v>40</v>
      </c>
      <c r="H40" s="149">
        <f aca="true" t="shared" si="16" ref="H40:H70">$L$11</f>
        <v>4</v>
      </c>
      <c r="I40" s="150">
        <f aca="true" t="shared" si="17" ref="I40:I70">IF(AK40="","",IF($F40&gt;0,($F40/$AK40)*AG40,IF($G40&gt;0,(((43560/($G40/12))*$H40)/$AK40)*AG40,0)))</f>
        <v>10.4544</v>
      </c>
      <c r="J40" s="83">
        <f aca="true" t="shared" si="18" ref="J40:J70">BI40</f>
        <v>10.149902912621359</v>
      </c>
      <c r="K40" s="84">
        <f aca="true" t="shared" si="19" ref="K40:K70">BD40</f>
        <v>10.4544</v>
      </c>
      <c r="L40" s="151">
        <f aca="true" t="shared" si="20" ref="L40:L70">BG40</f>
        <v>10.149902912621359</v>
      </c>
      <c r="M40" s="152">
        <f aca="true" t="shared" si="21" ref="M40:M70">BB40</f>
        <v>10.4544</v>
      </c>
      <c r="N40" s="188">
        <f aca="true" t="shared" si="22" ref="N40:N70">IF(R40="New","New",(M40/L40)-1)</f>
        <v>0.030000000000000027</v>
      </c>
      <c r="O40" s="153">
        <f aca="true" t="shared" si="23" ref="O40:O70">IF(AW40="","",BH40)</f>
        <v>0</v>
      </c>
      <c r="P40" s="154">
        <f aca="true" t="shared" si="24" ref="P40:P70">IF(BC40="","",BC40)</f>
        <v>0</v>
      </c>
      <c r="Q40" s="176">
        <f aca="true" t="shared" si="25" ref="Q40:Q70">IF(R40="New","New",IF(AX40="","",(P40/O40)-1))</f>
      </c>
      <c r="R40" s="100">
        <f aca="true" t="shared" si="26" ref="R40:R70">IF(J40="","New",IF(J40=0,"New",K40-J40))</f>
        <v>0.3044970873786408</v>
      </c>
      <c r="S40" s="184">
        <f aca="true" t="shared" si="27" ref="S40:S70">IF(R40="New","",R40/J40)</f>
        <v>0.030000000000000002</v>
      </c>
      <c r="U40" s="208" t="s">
        <v>96</v>
      </c>
      <c r="V40" s="4" t="s">
        <v>12</v>
      </c>
      <c r="X40" s="155">
        <v>50</v>
      </c>
      <c r="Y40" s="155">
        <v>50</v>
      </c>
      <c r="Z40" s="155">
        <v>50</v>
      </c>
      <c r="AA40" s="155"/>
      <c r="AB40" s="155"/>
      <c r="AC40" s="155"/>
      <c r="AD40" s="155"/>
      <c r="AE40" s="155"/>
      <c r="AF40" s="155"/>
      <c r="AG40" s="32">
        <f aca="true" t="shared" si="28" ref="AG40:AG70">X40+(AA40+AB40)</f>
        <v>50</v>
      </c>
      <c r="AH40" s="32">
        <f aca="true" t="shared" si="29" ref="AH40:AH70">Y40+(AC40+AD40)</f>
        <v>50</v>
      </c>
      <c r="AI40" s="32">
        <f aca="true" t="shared" si="30" ref="AI40:AI70">Z40+(AE40+AF40)</f>
        <v>50</v>
      </c>
      <c r="AJ40" s="33"/>
      <c r="AK40" s="204">
        <v>250000</v>
      </c>
      <c r="AL40" s="204">
        <v>5150</v>
      </c>
      <c r="AM40" s="204">
        <v>257500</v>
      </c>
      <c r="AN40" s="33"/>
      <c r="AO40" s="204">
        <v>250000</v>
      </c>
      <c r="AP40" s="67">
        <f aca="true" t="shared" si="31" ref="AP40:AP70">AK40</f>
        <v>250000</v>
      </c>
      <c r="AQ40" s="34">
        <f aca="true" t="shared" si="32" ref="AQ40:AQ70">IF(AK40&gt;0,AM40/AK40*100,"Not Avail.")</f>
        <v>103</v>
      </c>
      <c r="AR40" s="67">
        <f aca="true" t="shared" si="33" ref="AR40:AR70">AM40</f>
        <v>257500</v>
      </c>
      <c r="AS40" s="34">
        <f aca="true" t="shared" si="34" ref="AS40:AS70">IF(AM40&gt;0,AO40/AM40*100,"Not Avail.")</f>
        <v>97.0873786407767</v>
      </c>
      <c r="AT40" s="28">
        <f aca="true" t="shared" si="35" ref="AT40:AT70">IF(Y40="","",Y40/AS40*100)</f>
        <v>51.5</v>
      </c>
      <c r="AU40" s="28">
        <f aca="true" t="shared" si="36" ref="AU40:AU70">IF(AC40="","",((AC40+AD40)/AS40*100))</f>
      </c>
      <c r="AV40" s="28">
        <f aca="true" t="shared" si="37" ref="AV40:AV70">IF(AT40="","",SUM(AT40:AU40))</f>
        <v>51.5</v>
      </c>
      <c r="AW40" s="24">
        <f aca="true" t="shared" si="38" ref="AW40:AW70">IF(AT40="","",Z40-AT40)</f>
        <v>-1.5</v>
      </c>
      <c r="AX40" s="24">
        <f aca="true" t="shared" si="39" ref="AX40:AX70">IF(AU40="","",(AE40+AF40)-AU40)</f>
      </c>
      <c r="AY40" s="24">
        <f aca="true" t="shared" si="40" ref="AY40:AY70">IF(AH40&gt;0,AI40-AV40,"New")</f>
        <v>-1.5</v>
      </c>
      <c r="AZ40" s="156">
        <f aca="true" t="shared" si="41" ref="AZ40:AZ70">F40</f>
        <v>52272</v>
      </c>
      <c r="BA40" s="35">
        <f aca="true" t="shared" si="42" ref="BA40:BA70">IF($F40&gt;0,($F40/$AO40),IF($G40&gt;0,(((43560/($G40/12))*$H40)/$AO40),0))</f>
        <v>0.209088</v>
      </c>
      <c r="BB40" s="35">
        <f aca="true" t="shared" si="43" ref="BB40:BB70">Z40/(1/BA40)</f>
        <v>10.4544</v>
      </c>
      <c r="BC40" s="36">
        <f aca="true" t="shared" si="44" ref="BC40:BC70">((AE40+AF40)/(1/BA40))</f>
        <v>0</v>
      </c>
      <c r="BD40" s="36">
        <f aca="true" t="shared" si="45" ref="BD40:BD70">BB40+BC40</f>
        <v>10.4544</v>
      </c>
      <c r="BE40" s="36" t="str">
        <f aca="true" t="shared" si="46" ref="BE40:BE70">IF(BD40=K40,"yes","no")</f>
        <v>yes</v>
      </c>
      <c r="BF40" s="37">
        <f aca="true" t="shared" si="47" ref="BF40:BF70">IF(AM40="","",IF($F40&gt;0,($F40/AM40),IF($G40&gt;0,((((43560/($G40/12))*$H40)/$AM40)),0)))</f>
        <v>0.20299805825242717</v>
      </c>
      <c r="BG40" s="37">
        <f aca="true" t="shared" si="48" ref="BG40:BG70">IF(Y40="","",Y40/(1/BF40))</f>
        <v>10.149902912621359</v>
      </c>
      <c r="BH40" s="36">
        <f aca="true" t="shared" si="49" ref="BH40:BH70">((AC40+AD40)/(1/BF40))</f>
        <v>0</v>
      </c>
      <c r="BI40" s="38">
        <f aca="true" t="shared" si="50" ref="BI40:BI70">SUM(BG40:BH40)</f>
        <v>10.149902912621359</v>
      </c>
      <c r="BJ40" s="1" t="str">
        <f aca="true" t="shared" si="51" ref="BJ40:BJ70">IF(J40=BI40,"yes","no")</f>
        <v>yes</v>
      </c>
      <c r="BK40" s="37">
        <f aca="true" t="shared" si="52" ref="BK40:BK64">IF(BG40="","",IF(BG40=0,"",BB40-BG40))</f>
        <v>0.3044970873786408</v>
      </c>
      <c r="BL40" s="37">
        <f aca="true" t="shared" si="53" ref="BL40:BL64">IF(BH40="","",IF(BH40=0,"",BC40-BH40))</f>
      </c>
      <c r="BM40" s="7">
        <f aca="true" t="shared" si="54" ref="BM40:BM70">IF(BK40="","",BD40-BI40)</f>
        <v>0.3044970873786408</v>
      </c>
      <c r="BN40" s="7">
        <f aca="true" t="shared" si="55" ref="BN40:BN70">R40-BM40</f>
        <v>0</v>
      </c>
    </row>
    <row r="41" spans="2:66" ht="18" customHeight="1">
      <c r="B41" s="4" t="s">
        <v>12</v>
      </c>
      <c r="C41" s="29" t="s">
        <v>61</v>
      </c>
      <c r="D41" s="159" t="s">
        <v>191</v>
      </c>
      <c r="E41" s="158" t="s">
        <v>233</v>
      </c>
      <c r="F41" s="79">
        <f t="shared" si="14"/>
        <v>52272</v>
      </c>
      <c r="G41" s="80">
        <f t="shared" si="15"/>
        <v>40</v>
      </c>
      <c r="H41" s="149">
        <f t="shared" si="16"/>
        <v>4</v>
      </c>
      <c r="I41" s="150">
        <f t="shared" si="17"/>
      </c>
      <c r="J41" s="83">
        <f t="shared" si="18"/>
        <v>69.35544</v>
      </c>
      <c r="K41" s="84">
        <f t="shared" si="19"/>
        <v>69.35544</v>
      </c>
      <c r="L41" s="151">
        <f t="shared" si="20"/>
        <v>28.512</v>
      </c>
      <c r="M41" s="152">
        <f t="shared" si="21"/>
        <v>28.512</v>
      </c>
      <c r="N41" s="188">
        <f t="shared" si="22"/>
        <v>0</v>
      </c>
      <c r="O41" s="153">
        <f t="shared" si="23"/>
        <v>40.84344</v>
      </c>
      <c r="P41" s="154">
        <f t="shared" si="24"/>
        <v>40.84344</v>
      </c>
      <c r="Q41" s="176">
        <f t="shared" si="25"/>
        <v>0</v>
      </c>
      <c r="R41" s="100">
        <f t="shared" si="26"/>
        <v>0</v>
      </c>
      <c r="S41" s="184">
        <f t="shared" si="27"/>
        <v>0</v>
      </c>
      <c r="U41" s="207" t="s">
        <v>141</v>
      </c>
      <c r="V41" s="4" t="s">
        <v>12</v>
      </c>
      <c r="X41" s="161"/>
      <c r="Y41" s="161">
        <v>120</v>
      </c>
      <c r="Z41" s="161">
        <v>120</v>
      </c>
      <c r="AA41" s="161"/>
      <c r="AB41" s="161"/>
      <c r="AC41" s="161">
        <v>171.9</v>
      </c>
      <c r="AD41" s="161"/>
      <c r="AE41" s="161">
        <v>171.9</v>
      </c>
      <c r="AF41" s="161"/>
      <c r="AG41" s="32">
        <f t="shared" si="28"/>
        <v>0</v>
      </c>
      <c r="AH41" s="32">
        <f t="shared" si="29"/>
        <v>291.9</v>
      </c>
      <c r="AI41" s="32">
        <f t="shared" si="30"/>
        <v>291.9</v>
      </c>
      <c r="AJ41" s="33"/>
      <c r="AK41" s="160"/>
      <c r="AL41" s="33"/>
      <c r="AM41" s="160">
        <v>220000</v>
      </c>
      <c r="AN41" s="33"/>
      <c r="AO41" s="160">
        <v>220000</v>
      </c>
      <c r="AP41" s="67">
        <f t="shared" si="31"/>
        <v>0</v>
      </c>
      <c r="AQ41" s="34" t="str">
        <f t="shared" si="32"/>
        <v>Not Avail.</v>
      </c>
      <c r="AR41" s="67">
        <f t="shared" si="33"/>
        <v>220000</v>
      </c>
      <c r="AS41" s="34">
        <f t="shared" si="34"/>
        <v>100</v>
      </c>
      <c r="AT41" s="28">
        <f t="shared" si="35"/>
        <v>120</v>
      </c>
      <c r="AU41" s="28">
        <f t="shared" si="36"/>
        <v>171.9</v>
      </c>
      <c r="AV41" s="28">
        <f t="shared" si="37"/>
        <v>291.9</v>
      </c>
      <c r="AW41" s="24">
        <f t="shared" si="38"/>
        <v>0</v>
      </c>
      <c r="AX41" s="24">
        <f t="shared" si="39"/>
        <v>0</v>
      </c>
      <c r="AY41" s="24">
        <f t="shared" si="40"/>
        <v>0</v>
      </c>
      <c r="AZ41" s="156">
        <f t="shared" si="41"/>
        <v>52272</v>
      </c>
      <c r="BA41" s="35">
        <f t="shared" si="42"/>
        <v>0.2376</v>
      </c>
      <c r="BB41" s="35">
        <f t="shared" si="43"/>
        <v>28.512</v>
      </c>
      <c r="BC41" s="36">
        <f t="shared" si="44"/>
        <v>40.84344</v>
      </c>
      <c r="BD41" s="36">
        <f t="shared" si="45"/>
        <v>69.35544</v>
      </c>
      <c r="BE41" s="36" t="str">
        <f t="shared" si="46"/>
        <v>yes</v>
      </c>
      <c r="BF41" s="37">
        <f t="shared" si="47"/>
        <v>0.2376</v>
      </c>
      <c r="BG41" s="37">
        <f t="shared" si="48"/>
        <v>28.512</v>
      </c>
      <c r="BH41" s="36">
        <f t="shared" si="49"/>
        <v>40.84344</v>
      </c>
      <c r="BI41" s="38">
        <f t="shared" si="50"/>
        <v>69.35544</v>
      </c>
      <c r="BJ41" s="1" t="str">
        <f t="shared" si="51"/>
        <v>yes</v>
      </c>
      <c r="BK41" s="37">
        <f t="shared" si="52"/>
        <v>0</v>
      </c>
      <c r="BL41" s="37">
        <f t="shared" si="53"/>
        <v>0</v>
      </c>
      <c r="BM41" s="7">
        <f t="shared" si="54"/>
        <v>0</v>
      </c>
      <c r="BN41" s="7">
        <f t="shared" si="55"/>
        <v>0</v>
      </c>
    </row>
    <row r="42" spans="3:66" ht="18" customHeight="1">
      <c r="C42" s="29"/>
      <c r="D42" s="159" t="s">
        <v>191</v>
      </c>
      <c r="E42" s="158" t="s">
        <v>38</v>
      </c>
      <c r="F42" s="79">
        <f t="shared" si="14"/>
        <v>52272</v>
      </c>
      <c r="G42" s="80">
        <f t="shared" si="15"/>
        <v>40</v>
      </c>
      <c r="H42" s="149">
        <f t="shared" si="16"/>
        <v>4</v>
      </c>
      <c r="I42" s="150">
        <f>IF(AK42="","",IF($F42&gt;0,($F42/$AK42)*AG42,IF($G42&gt;0,(((43560/($G42/12))*$H42)/$AK42)*AG42,0)))</f>
      </c>
      <c r="J42" s="83">
        <f>BI42</f>
        <v>0</v>
      </c>
      <c r="K42" s="84">
        <f>BD42</f>
        <v>66.50424000000001</v>
      </c>
      <c r="L42" s="151">
        <f>BG42</f>
      </c>
      <c r="M42" s="152">
        <f>BB42</f>
        <v>25.660800000000002</v>
      </c>
      <c r="N42" s="188" t="str">
        <f>IF(R42="New","New",(M42/L42)-1)</f>
        <v>New</v>
      </c>
      <c r="O42" s="153">
        <f>IF(AW42="","",BH42)</f>
      </c>
      <c r="P42" s="154">
        <f>IF(BC42="","",BC42)</f>
        <v>40.84344</v>
      </c>
      <c r="Q42" s="176" t="str">
        <f>IF(R42="New","New",IF(AX42="","",(P42/O42)-1))</f>
        <v>New</v>
      </c>
      <c r="R42" s="100" t="str">
        <f>IF(J42="","New",IF(J42=0,"New",K42-J42))</f>
        <v>New</v>
      </c>
      <c r="S42" s="184">
        <f>IF(R42="New","",R42/J42)</f>
      </c>
      <c r="U42" s="207" t="s">
        <v>140</v>
      </c>
      <c r="V42" s="4" t="s">
        <v>12</v>
      </c>
      <c r="X42" s="161"/>
      <c r="Y42" s="161"/>
      <c r="Z42" s="161">
        <v>108</v>
      </c>
      <c r="AA42" s="161"/>
      <c r="AB42" s="161"/>
      <c r="AC42" s="161"/>
      <c r="AD42" s="161"/>
      <c r="AE42" s="161">
        <v>171.9</v>
      </c>
      <c r="AF42" s="161"/>
      <c r="AG42" s="32">
        <f t="shared" si="28"/>
        <v>0</v>
      </c>
      <c r="AH42" s="32">
        <f t="shared" si="29"/>
        <v>0</v>
      </c>
      <c r="AI42" s="32">
        <f t="shared" si="30"/>
        <v>279.9</v>
      </c>
      <c r="AJ42" s="33"/>
      <c r="AK42" s="160"/>
      <c r="AL42" s="33"/>
      <c r="AM42" s="160">
        <v>220000</v>
      </c>
      <c r="AN42" s="33"/>
      <c r="AO42" s="160">
        <v>220000</v>
      </c>
      <c r="AP42" s="67">
        <f>AK42</f>
        <v>0</v>
      </c>
      <c r="AQ42" s="34" t="str">
        <f>IF(AK42&gt;0,AM42/AK42*100,"Not Avail.")</f>
        <v>Not Avail.</v>
      </c>
      <c r="AR42" s="67">
        <f>AM42</f>
        <v>220000</v>
      </c>
      <c r="AS42" s="34">
        <f>IF(AM42&gt;0,AO42/AM42*100,"Not Avail.")</f>
        <v>100</v>
      </c>
      <c r="AT42" s="28">
        <f t="shared" si="35"/>
      </c>
      <c r="AU42" s="28">
        <f t="shared" si="36"/>
      </c>
      <c r="AV42" s="28">
        <f>IF(AT42="","",SUM(AT42:AU42))</f>
      </c>
      <c r="AW42" s="24">
        <f t="shared" si="38"/>
      </c>
      <c r="AX42" s="24">
        <f t="shared" si="39"/>
      </c>
      <c r="AY42" s="24" t="str">
        <f>IF(AH42&gt;0,AI42-AV42,"New")</f>
        <v>New</v>
      </c>
      <c r="AZ42" s="156">
        <f>F42</f>
        <v>52272</v>
      </c>
      <c r="BA42" s="35">
        <f t="shared" si="42"/>
        <v>0.2376</v>
      </c>
      <c r="BB42" s="35">
        <f t="shared" si="43"/>
        <v>25.660800000000002</v>
      </c>
      <c r="BC42" s="36">
        <f t="shared" si="44"/>
        <v>40.84344</v>
      </c>
      <c r="BD42" s="36">
        <f>BB42+BC42</f>
        <v>66.50424000000001</v>
      </c>
      <c r="BE42" s="36" t="str">
        <f>IF(BD42=K42,"yes","no")</f>
        <v>yes</v>
      </c>
      <c r="BF42" s="37">
        <f>IF(AM42="","",IF($F42&gt;0,($F42/AM42),IF($G42&gt;0,((((43560/($G42/12))*$H42)/$AM42)),0)))</f>
        <v>0.2376</v>
      </c>
      <c r="BG42" s="37">
        <f t="shared" si="48"/>
      </c>
      <c r="BH42" s="36">
        <f t="shared" si="49"/>
        <v>0</v>
      </c>
      <c r="BI42" s="38">
        <f>SUM(BG42:BH42)</f>
        <v>0</v>
      </c>
      <c r="BJ42" s="1" t="str">
        <f>IF(J42=BI42,"yes","no")</f>
        <v>yes</v>
      </c>
      <c r="BK42" s="37">
        <f aca="true" t="shared" si="56" ref="BK42:BL44">IF(BG42="","",IF(BG42=0,"",BB42-BG42))</f>
      </c>
      <c r="BL42" s="37">
        <f t="shared" si="56"/>
      </c>
      <c r="BM42" s="7">
        <f>IF(BK42="","",BD42-BI42)</f>
      </c>
      <c r="BN42" s="7" t="e">
        <f>R42-BM42</f>
        <v>#VALUE!</v>
      </c>
    </row>
    <row r="43" spans="3:66" ht="18" customHeight="1">
      <c r="C43" s="29"/>
      <c r="D43" s="159" t="s">
        <v>191</v>
      </c>
      <c r="E43" s="158" t="s">
        <v>39</v>
      </c>
      <c r="F43" s="79">
        <f t="shared" si="14"/>
        <v>52272</v>
      </c>
      <c r="G43" s="80">
        <f t="shared" si="15"/>
        <v>40</v>
      </c>
      <c r="H43" s="149">
        <f t="shared" si="16"/>
        <v>4</v>
      </c>
      <c r="I43" s="150">
        <f>IF(AK43="","",IF($F43&gt;0,($F43/$AK43)*AG43,IF($G43&gt;0,(((43560/($G43/12))*$H43)/$AK43)*AG43,0)))</f>
      </c>
      <c r="J43" s="83">
        <f>BI43</f>
        <v>0</v>
      </c>
      <c r="K43" s="84">
        <f>BD43</f>
        <v>69.35544</v>
      </c>
      <c r="L43" s="151">
        <f>BG43</f>
      </c>
      <c r="M43" s="152">
        <f>BB43</f>
        <v>28.512</v>
      </c>
      <c r="N43" s="188" t="str">
        <f>IF(R43="New","New",(M43/L43)-1)</f>
        <v>New</v>
      </c>
      <c r="O43" s="153">
        <f>IF(AW43="","",BH43)</f>
      </c>
      <c r="P43" s="154">
        <f>IF(BC43="","",BC43)</f>
        <v>40.84344</v>
      </c>
      <c r="Q43" s="176" t="str">
        <f>IF(R43="New","New",IF(AX43="","",(P43/O43)-1))</f>
        <v>New</v>
      </c>
      <c r="R43" s="100" t="str">
        <f>IF(J43="","New",IF(J43=0,"New",K43-J43))</f>
        <v>New</v>
      </c>
      <c r="S43" s="184">
        <f>IF(R43="New","",R43/J43)</f>
      </c>
      <c r="U43" s="207" t="s">
        <v>141</v>
      </c>
      <c r="V43" s="4" t="s">
        <v>12</v>
      </c>
      <c r="X43" s="161"/>
      <c r="Y43" s="161"/>
      <c r="Z43" s="161">
        <v>120</v>
      </c>
      <c r="AA43" s="161"/>
      <c r="AB43" s="161"/>
      <c r="AC43" s="161"/>
      <c r="AD43" s="161"/>
      <c r="AE43" s="161">
        <v>171.9</v>
      </c>
      <c r="AF43" s="161"/>
      <c r="AG43" s="32">
        <f t="shared" si="28"/>
        <v>0</v>
      </c>
      <c r="AH43" s="32">
        <f t="shared" si="29"/>
        <v>0</v>
      </c>
      <c r="AI43" s="32">
        <f t="shared" si="30"/>
        <v>291.9</v>
      </c>
      <c r="AJ43" s="33"/>
      <c r="AK43" s="160"/>
      <c r="AL43" s="33"/>
      <c r="AM43" s="160">
        <v>220000</v>
      </c>
      <c r="AN43" s="33"/>
      <c r="AO43" s="160">
        <v>220000</v>
      </c>
      <c r="AP43" s="67">
        <f>AK43</f>
        <v>0</v>
      </c>
      <c r="AQ43" s="34" t="str">
        <f>IF(AK43&gt;0,AM43/AK43*100,"Not Avail.")</f>
        <v>Not Avail.</v>
      </c>
      <c r="AR43" s="67">
        <f>AM43</f>
        <v>220000</v>
      </c>
      <c r="AS43" s="34">
        <f>IF(AM43&gt;0,AO43/AM43*100,"Not Avail.")</f>
        <v>100</v>
      </c>
      <c r="AT43" s="28">
        <f t="shared" si="35"/>
      </c>
      <c r="AU43" s="28">
        <f t="shared" si="36"/>
      </c>
      <c r="AV43" s="28">
        <f>IF(AT43="","",SUM(AT43:AU43))</f>
      </c>
      <c r="AW43" s="24">
        <f t="shared" si="38"/>
      </c>
      <c r="AX43" s="24">
        <f t="shared" si="39"/>
      </c>
      <c r="AY43" s="24" t="str">
        <f>IF(AH43&gt;0,AI43-AV43,"New")</f>
        <v>New</v>
      </c>
      <c r="AZ43" s="156">
        <f>F43</f>
        <v>52272</v>
      </c>
      <c r="BA43" s="35">
        <f t="shared" si="42"/>
        <v>0.2376</v>
      </c>
      <c r="BB43" s="35">
        <f t="shared" si="43"/>
        <v>28.512</v>
      </c>
      <c r="BC43" s="36">
        <f t="shared" si="44"/>
        <v>40.84344</v>
      </c>
      <c r="BD43" s="36">
        <f>BB43+BC43</f>
        <v>69.35544</v>
      </c>
      <c r="BE43" s="36" t="str">
        <f>IF(BD43=K43,"yes","no")</f>
        <v>yes</v>
      </c>
      <c r="BF43" s="37">
        <f>IF(AM43="","",IF($F43&gt;0,($F43/AM43),IF($G43&gt;0,((((43560/($G43/12))*$H43)/$AM43)),0)))</f>
        <v>0.2376</v>
      </c>
      <c r="BG43" s="37">
        <f t="shared" si="48"/>
      </c>
      <c r="BH43" s="36">
        <f t="shared" si="49"/>
        <v>0</v>
      </c>
      <c r="BI43" s="38">
        <f>SUM(BG43:BH43)</f>
        <v>0</v>
      </c>
      <c r="BJ43" s="1" t="str">
        <f>IF(J43=BI43,"yes","no")</f>
        <v>yes</v>
      </c>
      <c r="BK43" s="37">
        <f t="shared" si="56"/>
      </c>
      <c r="BL43" s="37">
        <f t="shared" si="56"/>
      </c>
      <c r="BM43" s="7">
        <f>IF(BK43="","",BD43-BI43)</f>
      </c>
      <c r="BN43" s="7" t="e">
        <f>R43-BM43</f>
        <v>#VALUE!</v>
      </c>
    </row>
    <row r="44" spans="3:66" ht="18" customHeight="1">
      <c r="C44" s="29"/>
      <c r="D44" s="159" t="s">
        <v>191</v>
      </c>
      <c r="E44" s="158" t="s">
        <v>40</v>
      </c>
      <c r="F44" s="79">
        <f t="shared" si="14"/>
        <v>52272</v>
      </c>
      <c r="G44" s="80">
        <f t="shared" si="15"/>
        <v>40</v>
      </c>
      <c r="H44" s="149">
        <f t="shared" si="16"/>
        <v>4</v>
      </c>
      <c r="I44" s="150">
        <f>IF(AK44="","",IF($F44&gt;0,($F44/$AK44)*AG44,IF($G44&gt;0,(((43560/($G44/12))*$H44)/$AK44)*AG44,0)))</f>
      </c>
      <c r="J44" s="83">
        <f>BI44</f>
        <v>0</v>
      </c>
      <c r="K44" s="84">
        <f>BD44</f>
        <v>69.35544</v>
      </c>
      <c r="L44" s="151">
        <f>BG44</f>
      </c>
      <c r="M44" s="152">
        <f>BB44</f>
        <v>28.512</v>
      </c>
      <c r="N44" s="188" t="str">
        <f>IF(R44="New","New",(M44/L44)-1)</f>
        <v>New</v>
      </c>
      <c r="O44" s="153">
        <f>IF(AW44="","",BH44)</f>
      </c>
      <c r="P44" s="154">
        <f>IF(BC44="","",BC44)</f>
        <v>40.84344</v>
      </c>
      <c r="Q44" s="176" t="str">
        <f>IF(R44="New","New",IF(AX44="","",(P44/O44)-1))</f>
        <v>New</v>
      </c>
      <c r="R44" s="100" t="str">
        <f>IF(J44="","New",IF(J44=0,"New",K44-J44))</f>
        <v>New</v>
      </c>
      <c r="S44" s="184">
        <f>IF(R44="New","",R44/J44)</f>
      </c>
      <c r="U44" s="207" t="s">
        <v>141</v>
      </c>
      <c r="V44" s="4" t="s">
        <v>12</v>
      </c>
      <c r="X44" s="161"/>
      <c r="Y44" s="161"/>
      <c r="Z44" s="161">
        <v>120</v>
      </c>
      <c r="AA44" s="161"/>
      <c r="AB44" s="161"/>
      <c r="AC44" s="161"/>
      <c r="AD44" s="161"/>
      <c r="AE44" s="161">
        <v>171.9</v>
      </c>
      <c r="AF44" s="161"/>
      <c r="AG44" s="32">
        <f t="shared" si="28"/>
        <v>0</v>
      </c>
      <c r="AH44" s="32">
        <f t="shared" si="29"/>
        <v>0</v>
      </c>
      <c r="AI44" s="32">
        <f t="shared" si="30"/>
        <v>291.9</v>
      </c>
      <c r="AJ44" s="33"/>
      <c r="AK44" s="160"/>
      <c r="AL44" s="33"/>
      <c r="AM44" s="160">
        <v>220000</v>
      </c>
      <c r="AN44" s="33"/>
      <c r="AO44" s="160">
        <v>220000</v>
      </c>
      <c r="AP44" s="67">
        <f>AK44</f>
        <v>0</v>
      </c>
      <c r="AQ44" s="34" t="str">
        <f>IF(AK44&gt;0,AM44/AK44*100,"Not Avail.")</f>
        <v>Not Avail.</v>
      </c>
      <c r="AR44" s="67">
        <f>AM44</f>
        <v>220000</v>
      </c>
      <c r="AS44" s="34">
        <f>IF(AM44&gt;0,AO44/AM44*100,"Not Avail.")</f>
        <v>100</v>
      </c>
      <c r="AT44" s="28">
        <f t="shared" si="35"/>
      </c>
      <c r="AU44" s="28">
        <f t="shared" si="36"/>
      </c>
      <c r="AV44" s="28">
        <f>IF(AT44="","",SUM(AT44:AU44))</f>
      </c>
      <c r="AW44" s="24">
        <f t="shared" si="38"/>
      </c>
      <c r="AX44" s="24">
        <f t="shared" si="39"/>
      </c>
      <c r="AY44" s="24" t="str">
        <f>IF(AH44&gt;0,AI44-AV44,"New")</f>
        <v>New</v>
      </c>
      <c r="AZ44" s="156">
        <f>F44</f>
        <v>52272</v>
      </c>
      <c r="BA44" s="35">
        <f t="shared" si="42"/>
        <v>0.2376</v>
      </c>
      <c r="BB44" s="35">
        <f t="shared" si="43"/>
        <v>28.512</v>
      </c>
      <c r="BC44" s="36">
        <f t="shared" si="44"/>
        <v>40.84344</v>
      </c>
      <c r="BD44" s="36">
        <f>BB44+BC44</f>
        <v>69.35544</v>
      </c>
      <c r="BE44" s="36" t="str">
        <f>IF(BD44=K44,"yes","no")</f>
        <v>yes</v>
      </c>
      <c r="BF44" s="37">
        <f>IF(AM44="","",IF($F44&gt;0,($F44/AM44),IF($G44&gt;0,((((43560/($G44/12))*$H44)/$AM44)),0)))</f>
        <v>0.2376</v>
      </c>
      <c r="BG44" s="37">
        <f t="shared" si="48"/>
      </c>
      <c r="BH44" s="36">
        <f t="shared" si="49"/>
        <v>0</v>
      </c>
      <c r="BI44" s="38">
        <f>SUM(BG44:BH44)</f>
        <v>0</v>
      </c>
      <c r="BJ44" s="1" t="str">
        <f>IF(J44=BI44,"yes","no")</f>
        <v>yes</v>
      </c>
      <c r="BK44" s="37">
        <f t="shared" si="56"/>
      </c>
      <c r="BL44" s="37">
        <f t="shared" si="56"/>
      </c>
      <c r="BM44" s="7">
        <f>IF(BK44="","",BD44-BI44)</f>
      </c>
      <c r="BN44" s="7" t="e">
        <f>R44-BM44</f>
        <v>#VALUE!</v>
      </c>
    </row>
    <row r="45" spans="4:66" ht="18" customHeight="1">
      <c r="D45" s="157" t="s">
        <v>191</v>
      </c>
      <c r="E45" s="158" t="s">
        <v>230</v>
      </c>
      <c r="F45" s="79">
        <f t="shared" si="14"/>
        <v>52272</v>
      </c>
      <c r="G45" s="80">
        <f t="shared" si="15"/>
        <v>40</v>
      </c>
      <c r="H45" s="149">
        <f t="shared" si="16"/>
        <v>4</v>
      </c>
      <c r="I45" s="150">
        <f t="shared" si="17"/>
      </c>
      <c r="J45" s="83">
        <f t="shared" si="18"/>
        <v>14.204347826086957</v>
      </c>
      <c r="K45" s="84">
        <f t="shared" si="19"/>
        <v>14.051612903225807</v>
      </c>
      <c r="L45" s="151">
        <f t="shared" si="20"/>
        <v>14.204347826086957</v>
      </c>
      <c r="M45" s="152">
        <f t="shared" si="21"/>
        <v>14.051612903225807</v>
      </c>
      <c r="N45" s="188">
        <f t="shared" si="22"/>
        <v>-0.010752688172043001</v>
      </c>
      <c r="O45" s="153">
        <f t="shared" si="23"/>
        <v>0</v>
      </c>
      <c r="P45" s="154">
        <f t="shared" si="24"/>
        <v>0</v>
      </c>
      <c r="Q45" s="176">
        <f t="shared" si="25"/>
      </c>
      <c r="R45" s="100">
        <f t="shared" si="26"/>
        <v>-0.15273492286114987</v>
      </c>
      <c r="S45" s="184">
        <f t="shared" si="27"/>
        <v>-0.010752688172042996</v>
      </c>
      <c r="U45" s="208" t="s">
        <v>96</v>
      </c>
      <c r="V45" s="4" t="s">
        <v>12</v>
      </c>
      <c r="X45" s="155"/>
      <c r="Y45" s="155">
        <v>62.5</v>
      </c>
      <c r="Z45" s="155">
        <v>62.5</v>
      </c>
      <c r="AA45" s="155"/>
      <c r="AB45" s="155"/>
      <c r="AC45" s="155"/>
      <c r="AD45" s="155"/>
      <c r="AE45" s="155"/>
      <c r="AF45" s="155"/>
      <c r="AG45" s="32">
        <f t="shared" si="28"/>
        <v>0</v>
      </c>
      <c r="AH45" s="32">
        <f t="shared" si="29"/>
        <v>62.5</v>
      </c>
      <c r="AI45" s="32">
        <f t="shared" si="30"/>
        <v>62.5</v>
      </c>
      <c r="AJ45" s="33"/>
      <c r="AK45" s="204"/>
      <c r="AL45" s="33">
        <v>4600</v>
      </c>
      <c r="AM45" s="204">
        <v>230000</v>
      </c>
      <c r="AN45" s="33"/>
      <c r="AO45" s="204">
        <v>232500</v>
      </c>
      <c r="AP45" s="67">
        <f t="shared" si="31"/>
        <v>0</v>
      </c>
      <c r="AQ45" s="34" t="str">
        <f t="shared" si="32"/>
        <v>Not Avail.</v>
      </c>
      <c r="AR45" s="67">
        <f t="shared" si="33"/>
        <v>230000</v>
      </c>
      <c r="AS45" s="34">
        <f t="shared" si="34"/>
        <v>101.08695652173914</v>
      </c>
      <c r="AT45" s="28">
        <f t="shared" si="35"/>
        <v>61.8279569892473</v>
      </c>
      <c r="AU45" s="28">
        <f t="shared" si="36"/>
      </c>
      <c r="AV45" s="28">
        <f t="shared" si="37"/>
        <v>61.8279569892473</v>
      </c>
      <c r="AW45" s="24">
        <f t="shared" si="38"/>
        <v>0.6720430107527022</v>
      </c>
      <c r="AX45" s="24">
        <f t="shared" si="39"/>
      </c>
      <c r="AY45" s="24">
        <f t="shared" si="40"/>
        <v>0.6720430107527022</v>
      </c>
      <c r="AZ45" s="156">
        <f t="shared" si="41"/>
        <v>52272</v>
      </c>
      <c r="BA45" s="35">
        <f t="shared" si="42"/>
        <v>0.2248258064516129</v>
      </c>
      <c r="BB45" s="35">
        <f t="shared" si="43"/>
        <v>14.051612903225807</v>
      </c>
      <c r="BC45" s="36">
        <f t="shared" si="44"/>
        <v>0</v>
      </c>
      <c r="BD45" s="36">
        <f t="shared" si="45"/>
        <v>14.051612903225807</v>
      </c>
      <c r="BE45" s="36" t="str">
        <f t="shared" si="46"/>
        <v>yes</v>
      </c>
      <c r="BF45" s="37">
        <f t="shared" si="47"/>
        <v>0.2272695652173913</v>
      </c>
      <c r="BG45" s="37">
        <f t="shared" si="48"/>
        <v>14.204347826086957</v>
      </c>
      <c r="BH45" s="36">
        <f t="shared" si="49"/>
        <v>0</v>
      </c>
      <c r="BI45" s="38">
        <f t="shared" si="50"/>
        <v>14.204347826086957</v>
      </c>
      <c r="BJ45" s="1" t="str">
        <f t="shared" si="51"/>
        <v>yes</v>
      </c>
      <c r="BK45" s="37">
        <f t="shared" si="52"/>
        <v>-0.15273492286114987</v>
      </c>
      <c r="BL45" s="37">
        <f t="shared" si="53"/>
      </c>
      <c r="BM45" s="7">
        <f t="shared" si="54"/>
        <v>-0.15273492286114987</v>
      </c>
      <c r="BN45" s="7">
        <f t="shared" si="55"/>
        <v>0</v>
      </c>
    </row>
    <row r="46" spans="2:66" ht="18" customHeight="1">
      <c r="B46" s="4" t="s">
        <v>12</v>
      </c>
      <c r="C46" s="4" t="s">
        <v>95</v>
      </c>
      <c r="D46" s="157" t="s">
        <v>191</v>
      </c>
      <c r="E46" s="158" t="s">
        <v>179</v>
      </c>
      <c r="F46" s="79">
        <f t="shared" si="14"/>
        <v>52272</v>
      </c>
      <c r="G46" s="80">
        <f t="shared" si="15"/>
        <v>40</v>
      </c>
      <c r="H46" s="149">
        <f t="shared" si="16"/>
        <v>4</v>
      </c>
      <c r="I46" s="150">
        <f t="shared" si="17"/>
        <v>67.5972</v>
      </c>
      <c r="J46" s="83">
        <f t="shared" si="18"/>
        <v>66.50424000000001</v>
      </c>
      <c r="K46" s="84">
        <f t="shared" si="19"/>
        <v>66.50424000000001</v>
      </c>
      <c r="L46" s="151">
        <f t="shared" si="20"/>
        <v>25.660800000000002</v>
      </c>
      <c r="M46" s="152">
        <f t="shared" si="21"/>
        <v>25.660800000000002</v>
      </c>
      <c r="N46" s="188">
        <f t="shared" si="22"/>
        <v>0</v>
      </c>
      <c r="O46" s="153">
        <f t="shared" si="23"/>
        <v>40.84344</v>
      </c>
      <c r="P46" s="154">
        <f t="shared" si="24"/>
        <v>40.84344</v>
      </c>
      <c r="Q46" s="176">
        <f t="shared" si="25"/>
        <v>0</v>
      </c>
      <c r="R46" s="100">
        <f t="shared" si="26"/>
        <v>0</v>
      </c>
      <c r="S46" s="184">
        <f t="shared" si="27"/>
        <v>0</v>
      </c>
      <c r="U46" s="208" t="s">
        <v>95</v>
      </c>
      <c r="V46" s="4" t="s">
        <v>12</v>
      </c>
      <c r="X46" s="32">
        <v>120</v>
      </c>
      <c r="Y46" s="32">
        <v>108</v>
      </c>
      <c r="Z46" s="32">
        <v>108</v>
      </c>
      <c r="AA46" s="32">
        <v>164.5</v>
      </c>
      <c r="AB46" s="32"/>
      <c r="AC46" s="32">
        <v>171.9</v>
      </c>
      <c r="AD46" s="32"/>
      <c r="AE46" s="32">
        <v>171.9</v>
      </c>
      <c r="AF46" s="32"/>
      <c r="AG46" s="32">
        <f t="shared" si="28"/>
        <v>284.5</v>
      </c>
      <c r="AH46" s="32">
        <f t="shared" si="29"/>
        <v>279.9</v>
      </c>
      <c r="AI46" s="32">
        <f t="shared" si="30"/>
        <v>279.9</v>
      </c>
      <c r="AJ46" s="33"/>
      <c r="AK46" s="33">
        <v>220000</v>
      </c>
      <c r="AL46" s="33"/>
      <c r="AM46" s="33">
        <v>220000</v>
      </c>
      <c r="AN46" s="33"/>
      <c r="AO46" s="160">
        <v>220000</v>
      </c>
      <c r="AP46" s="67">
        <f t="shared" si="31"/>
        <v>220000</v>
      </c>
      <c r="AQ46" s="34">
        <f t="shared" si="32"/>
        <v>100</v>
      </c>
      <c r="AR46" s="67">
        <f t="shared" si="33"/>
        <v>220000</v>
      </c>
      <c r="AS46" s="34">
        <f t="shared" si="34"/>
        <v>100</v>
      </c>
      <c r="AT46" s="28">
        <f t="shared" si="35"/>
        <v>108</v>
      </c>
      <c r="AU46" s="28">
        <f t="shared" si="36"/>
        <v>171.9</v>
      </c>
      <c r="AV46" s="28">
        <f t="shared" si="37"/>
        <v>279.9</v>
      </c>
      <c r="AW46" s="24">
        <f t="shared" si="38"/>
        <v>0</v>
      </c>
      <c r="AX46" s="24">
        <f t="shared" si="39"/>
        <v>0</v>
      </c>
      <c r="AY46" s="24">
        <f t="shared" si="40"/>
        <v>0</v>
      </c>
      <c r="AZ46" s="156">
        <f t="shared" si="41"/>
        <v>52272</v>
      </c>
      <c r="BA46" s="35">
        <f t="shared" si="42"/>
        <v>0.2376</v>
      </c>
      <c r="BB46" s="35">
        <f t="shared" si="43"/>
        <v>25.660800000000002</v>
      </c>
      <c r="BC46" s="36">
        <f t="shared" si="44"/>
        <v>40.84344</v>
      </c>
      <c r="BD46" s="36">
        <f t="shared" si="45"/>
        <v>66.50424000000001</v>
      </c>
      <c r="BE46" s="36" t="str">
        <f t="shared" si="46"/>
        <v>yes</v>
      </c>
      <c r="BF46" s="37">
        <f t="shared" si="47"/>
        <v>0.2376</v>
      </c>
      <c r="BG46" s="37">
        <f t="shared" si="48"/>
        <v>25.660800000000002</v>
      </c>
      <c r="BH46" s="36">
        <f t="shared" si="49"/>
        <v>40.84344</v>
      </c>
      <c r="BI46" s="38">
        <f t="shared" si="50"/>
        <v>66.50424000000001</v>
      </c>
      <c r="BJ46" s="1" t="str">
        <f t="shared" si="51"/>
        <v>yes</v>
      </c>
      <c r="BK46" s="37">
        <f t="shared" si="52"/>
        <v>0</v>
      </c>
      <c r="BL46" s="37">
        <f t="shared" si="53"/>
        <v>0</v>
      </c>
      <c r="BM46" s="7">
        <f t="shared" si="54"/>
        <v>0</v>
      </c>
      <c r="BN46" s="7">
        <f t="shared" si="55"/>
        <v>0</v>
      </c>
    </row>
    <row r="47" spans="2:66" ht="18" customHeight="1">
      <c r="B47" s="4" t="s">
        <v>12</v>
      </c>
      <c r="C47" s="4" t="s">
        <v>95</v>
      </c>
      <c r="D47" s="157" t="s">
        <v>191</v>
      </c>
      <c r="E47" s="158" t="s">
        <v>180</v>
      </c>
      <c r="F47" s="79">
        <f t="shared" si="14"/>
        <v>52272</v>
      </c>
      <c r="G47" s="80">
        <f t="shared" si="15"/>
        <v>40</v>
      </c>
      <c r="H47" s="149">
        <f t="shared" si="16"/>
        <v>4</v>
      </c>
      <c r="I47" s="150">
        <f t="shared" si="17"/>
        <v>63.558</v>
      </c>
      <c r="J47" s="83">
        <f t="shared" si="18"/>
        <v>64.12824</v>
      </c>
      <c r="K47" s="84">
        <f t="shared" si="19"/>
        <v>64.12824</v>
      </c>
      <c r="L47" s="151">
        <f t="shared" si="20"/>
        <v>23.2848</v>
      </c>
      <c r="M47" s="152">
        <f t="shared" si="21"/>
        <v>23.2848</v>
      </c>
      <c r="N47" s="188">
        <f t="shared" si="22"/>
        <v>0</v>
      </c>
      <c r="O47" s="153">
        <f t="shared" si="23"/>
        <v>40.84344</v>
      </c>
      <c r="P47" s="154">
        <f t="shared" si="24"/>
        <v>40.84344</v>
      </c>
      <c r="Q47" s="176">
        <f t="shared" si="25"/>
        <v>0</v>
      </c>
      <c r="R47" s="100">
        <f t="shared" si="26"/>
        <v>0</v>
      </c>
      <c r="S47" s="184">
        <f t="shared" si="27"/>
        <v>0</v>
      </c>
      <c r="U47" s="208" t="s">
        <v>95</v>
      </c>
      <c r="V47" s="4" t="s">
        <v>12</v>
      </c>
      <c r="X47" s="32">
        <v>103</v>
      </c>
      <c r="Y47" s="32">
        <v>98</v>
      </c>
      <c r="Z47" s="32">
        <v>98</v>
      </c>
      <c r="AA47" s="32">
        <v>164.5</v>
      </c>
      <c r="AB47" s="32"/>
      <c r="AC47" s="206">
        <v>171.9</v>
      </c>
      <c r="AD47" s="32"/>
      <c r="AE47" s="206">
        <v>171.9</v>
      </c>
      <c r="AF47" s="32"/>
      <c r="AG47" s="32">
        <f t="shared" si="28"/>
        <v>267.5</v>
      </c>
      <c r="AH47" s="32">
        <f t="shared" si="29"/>
        <v>269.9</v>
      </c>
      <c r="AI47" s="32">
        <f t="shared" si="30"/>
        <v>269.9</v>
      </c>
      <c r="AJ47" s="33"/>
      <c r="AK47" s="33">
        <v>220000</v>
      </c>
      <c r="AL47" s="33"/>
      <c r="AM47" s="33">
        <v>220000</v>
      </c>
      <c r="AN47" s="33"/>
      <c r="AO47" s="160">
        <v>220000</v>
      </c>
      <c r="AP47" s="67">
        <f t="shared" si="31"/>
        <v>220000</v>
      </c>
      <c r="AQ47" s="34">
        <f t="shared" si="32"/>
        <v>100</v>
      </c>
      <c r="AR47" s="67">
        <f t="shared" si="33"/>
        <v>220000</v>
      </c>
      <c r="AS47" s="34">
        <f t="shared" si="34"/>
        <v>100</v>
      </c>
      <c r="AT47" s="28">
        <f t="shared" si="35"/>
        <v>98</v>
      </c>
      <c r="AU47" s="28">
        <f t="shared" si="36"/>
        <v>171.9</v>
      </c>
      <c r="AV47" s="28">
        <f t="shared" si="37"/>
        <v>269.9</v>
      </c>
      <c r="AW47" s="24">
        <f t="shared" si="38"/>
        <v>0</v>
      </c>
      <c r="AX47" s="24">
        <f t="shared" si="39"/>
        <v>0</v>
      </c>
      <c r="AY47" s="24">
        <f t="shared" si="40"/>
        <v>0</v>
      </c>
      <c r="AZ47" s="156">
        <f t="shared" si="41"/>
        <v>52272</v>
      </c>
      <c r="BA47" s="35">
        <f t="shared" si="42"/>
        <v>0.2376</v>
      </c>
      <c r="BB47" s="35">
        <f t="shared" si="43"/>
        <v>23.2848</v>
      </c>
      <c r="BC47" s="36">
        <f t="shared" si="44"/>
        <v>40.84344</v>
      </c>
      <c r="BD47" s="36">
        <f t="shared" si="45"/>
        <v>64.12824</v>
      </c>
      <c r="BE47" s="36" t="str">
        <f t="shared" si="46"/>
        <v>yes</v>
      </c>
      <c r="BF47" s="37">
        <f t="shared" si="47"/>
        <v>0.2376</v>
      </c>
      <c r="BG47" s="37">
        <f t="shared" si="48"/>
        <v>23.2848</v>
      </c>
      <c r="BH47" s="36">
        <f t="shared" si="49"/>
        <v>40.84344</v>
      </c>
      <c r="BI47" s="38">
        <f t="shared" si="50"/>
        <v>64.12824</v>
      </c>
      <c r="BJ47" s="1" t="str">
        <f t="shared" si="51"/>
        <v>yes</v>
      </c>
      <c r="BK47" s="37">
        <f t="shared" si="52"/>
        <v>0</v>
      </c>
      <c r="BL47" s="37">
        <f t="shared" si="53"/>
        <v>0</v>
      </c>
      <c r="BM47" s="7">
        <f t="shared" si="54"/>
        <v>0</v>
      </c>
      <c r="BN47" s="7">
        <f t="shared" si="55"/>
        <v>0</v>
      </c>
    </row>
    <row r="48" spans="2:66" ht="18" customHeight="1">
      <c r="B48" s="4" t="s">
        <v>13</v>
      </c>
      <c r="C48" s="4" t="s">
        <v>96</v>
      </c>
      <c r="D48" s="157" t="s">
        <v>191</v>
      </c>
      <c r="E48" s="158" t="s">
        <v>181</v>
      </c>
      <c r="F48" s="79">
        <f t="shared" si="14"/>
        <v>52272</v>
      </c>
      <c r="G48" s="80">
        <f t="shared" si="15"/>
        <v>40</v>
      </c>
      <c r="H48" s="149">
        <f t="shared" si="16"/>
        <v>4</v>
      </c>
      <c r="I48" s="150">
        <f t="shared" si="17"/>
        <v>9.92506329113924</v>
      </c>
      <c r="J48" s="83">
        <f t="shared" si="18"/>
        <v>9.92506329113924</v>
      </c>
      <c r="K48" s="84">
        <f t="shared" si="19"/>
        <v>9.92506329113924</v>
      </c>
      <c r="L48" s="151">
        <f t="shared" si="20"/>
        <v>9.92506329113924</v>
      </c>
      <c r="M48" s="152">
        <f t="shared" si="21"/>
        <v>9.92506329113924</v>
      </c>
      <c r="N48" s="188">
        <f t="shared" si="22"/>
        <v>0</v>
      </c>
      <c r="O48" s="153">
        <f t="shared" si="23"/>
        <v>0</v>
      </c>
      <c r="P48" s="154">
        <f t="shared" si="24"/>
        <v>0</v>
      </c>
      <c r="Q48" s="176">
        <f t="shared" si="25"/>
      </c>
      <c r="R48" s="100">
        <f t="shared" si="26"/>
        <v>0</v>
      </c>
      <c r="S48" s="184">
        <f t="shared" si="27"/>
        <v>0</v>
      </c>
      <c r="U48" s="208" t="s">
        <v>96</v>
      </c>
      <c r="V48" s="4" t="s">
        <v>13</v>
      </c>
      <c r="X48" s="155">
        <v>45</v>
      </c>
      <c r="Y48" s="155">
        <v>45</v>
      </c>
      <c r="Z48" s="155">
        <v>45</v>
      </c>
      <c r="AA48" s="155"/>
      <c r="AB48" s="155"/>
      <c r="AC48" s="155"/>
      <c r="AD48" s="155"/>
      <c r="AE48" s="155"/>
      <c r="AF48" s="155"/>
      <c r="AG48" s="32">
        <f t="shared" si="28"/>
        <v>45</v>
      </c>
      <c r="AH48" s="32">
        <f t="shared" si="29"/>
        <v>45</v>
      </c>
      <c r="AI48" s="32">
        <f t="shared" si="30"/>
        <v>45</v>
      </c>
      <c r="AJ48" s="33"/>
      <c r="AK48" s="204">
        <v>237000</v>
      </c>
      <c r="AL48" s="33"/>
      <c r="AM48" s="204">
        <v>237000</v>
      </c>
      <c r="AN48" s="33"/>
      <c r="AO48" s="204">
        <v>237000</v>
      </c>
      <c r="AP48" s="67">
        <f t="shared" si="31"/>
        <v>237000</v>
      </c>
      <c r="AQ48" s="34">
        <f t="shared" si="32"/>
        <v>100</v>
      </c>
      <c r="AR48" s="67">
        <f t="shared" si="33"/>
        <v>237000</v>
      </c>
      <c r="AS48" s="34">
        <f t="shared" si="34"/>
        <v>100</v>
      </c>
      <c r="AT48" s="28">
        <f t="shared" si="35"/>
        <v>45</v>
      </c>
      <c r="AU48" s="28">
        <f t="shared" si="36"/>
      </c>
      <c r="AV48" s="28">
        <f t="shared" si="37"/>
        <v>45</v>
      </c>
      <c r="AW48" s="24">
        <f t="shared" si="38"/>
        <v>0</v>
      </c>
      <c r="AX48" s="24">
        <f t="shared" si="39"/>
      </c>
      <c r="AY48" s="24">
        <f t="shared" si="40"/>
        <v>0</v>
      </c>
      <c r="AZ48" s="156">
        <f t="shared" si="41"/>
        <v>52272</v>
      </c>
      <c r="BA48" s="35">
        <f t="shared" si="42"/>
        <v>0.22055696202531647</v>
      </c>
      <c r="BB48" s="35">
        <f t="shared" si="43"/>
        <v>9.92506329113924</v>
      </c>
      <c r="BC48" s="36">
        <f t="shared" si="44"/>
        <v>0</v>
      </c>
      <c r="BD48" s="36">
        <f t="shared" si="45"/>
        <v>9.92506329113924</v>
      </c>
      <c r="BE48" s="36" t="str">
        <f t="shared" si="46"/>
        <v>yes</v>
      </c>
      <c r="BF48" s="37">
        <f t="shared" si="47"/>
        <v>0.22055696202531647</v>
      </c>
      <c r="BG48" s="37">
        <f t="shared" si="48"/>
        <v>9.92506329113924</v>
      </c>
      <c r="BH48" s="36">
        <f t="shared" si="49"/>
        <v>0</v>
      </c>
      <c r="BI48" s="38">
        <f t="shared" si="50"/>
        <v>9.92506329113924</v>
      </c>
      <c r="BJ48" s="1" t="str">
        <f t="shared" si="51"/>
        <v>yes</v>
      </c>
      <c r="BK48" s="37">
        <f t="shared" si="52"/>
        <v>0</v>
      </c>
      <c r="BL48" s="37">
        <f t="shared" si="53"/>
      </c>
      <c r="BM48" s="7">
        <f t="shared" si="54"/>
        <v>0</v>
      </c>
      <c r="BN48" s="7">
        <f t="shared" si="55"/>
        <v>0</v>
      </c>
    </row>
    <row r="49" spans="2:66" ht="18" customHeight="1">
      <c r="B49" s="4" t="s">
        <v>12</v>
      </c>
      <c r="C49" s="4" t="s">
        <v>97</v>
      </c>
      <c r="D49" s="159" t="s">
        <v>191</v>
      </c>
      <c r="E49" s="158" t="s">
        <v>89</v>
      </c>
      <c r="F49" s="79">
        <f t="shared" si="14"/>
        <v>52272</v>
      </c>
      <c r="G49" s="80">
        <f t="shared" si="15"/>
        <v>40</v>
      </c>
      <c r="H49" s="149">
        <f t="shared" si="16"/>
        <v>4</v>
      </c>
      <c r="I49" s="150">
        <f t="shared" si="17"/>
        <v>56.7864</v>
      </c>
      <c r="J49" s="83">
        <f t="shared" si="18"/>
        <v>57.879360000000005</v>
      </c>
      <c r="K49" s="84">
        <f t="shared" si="19"/>
        <v>57.879360000000005</v>
      </c>
      <c r="L49" s="151">
        <f t="shared" si="20"/>
        <v>25.660800000000002</v>
      </c>
      <c r="M49" s="152">
        <f t="shared" si="21"/>
        <v>25.660800000000002</v>
      </c>
      <c r="N49" s="188">
        <f t="shared" si="22"/>
        <v>0</v>
      </c>
      <c r="O49" s="153">
        <f t="shared" si="23"/>
        <v>32.218560000000004</v>
      </c>
      <c r="P49" s="154">
        <f t="shared" si="24"/>
        <v>32.218560000000004</v>
      </c>
      <c r="Q49" s="176">
        <f t="shared" si="25"/>
        <v>0</v>
      </c>
      <c r="R49" s="100">
        <f t="shared" si="26"/>
        <v>0</v>
      </c>
      <c r="S49" s="184">
        <f t="shared" si="27"/>
        <v>0</v>
      </c>
      <c r="U49" s="208" t="s">
        <v>97</v>
      </c>
      <c r="V49" s="4" t="s">
        <v>12</v>
      </c>
      <c r="X49" s="162">
        <v>113</v>
      </c>
      <c r="Y49" s="162">
        <v>108</v>
      </c>
      <c r="Z49" s="162">
        <v>108</v>
      </c>
      <c r="AA49" s="31">
        <v>126</v>
      </c>
      <c r="AB49" s="31"/>
      <c r="AC49" s="31">
        <v>135.6</v>
      </c>
      <c r="AD49" s="31"/>
      <c r="AE49" s="31">
        <v>135.6</v>
      </c>
      <c r="AF49" s="31"/>
      <c r="AG49" s="32">
        <f t="shared" si="28"/>
        <v>239</v>
      </c>
      <c r="AH49" s="32">
        <f t="shared" si="29"/>
        <v>243.6</v>
      </c>
      <c r="AI49" s="32">
        <f t="shared" si="30"/>
        <v>243.6</v>
      </c>
      <c r="AJ49" s="33"/>
      <c r="AK49" s="25">
        <v>220000</v>
      </c>
      <c r="AL49" s="33"/>
      <c r="AM49" s="25">
        <v>220000</v>
      </c>
      <c r="AN49" s="33"/>
      <c r="AO49" s="25">
        <v>220000</v>
      </c>
      <c r="AP49" s="67">
        <f t="shared" si="31"/>
        <v>220000</v>
      </c>
      <c r="AQ49" s="34">
        <f t="shared" si="32"/>
        <v>100</v>
      </c>
      <c r="AR49" s="67">
        <f t="shared" si="33"/>
        <v>220000</v>
      </c>
      <c r="AS49" s="34">
        <f t="shared" si="34"/>
        <v>100</v>
      </c>
      <c r="AT49" s="28">
        <f t="shared" si="35"/>
        <v>108</v>
      </c>
      <c r="AU49" s="28">
        <f t="shared" si="36"/>
        <v>135.6</v>
      </c>
      <c r="AV49" s="28">
        <f t="shared" si="37"/>
        <v>243.6</v>
      </c>
      <c r="AW49" s="24">
        <f t="shared" si="38"/>
        <v>0</v>
      </c>
      <c r="AX49" s="24">
        <f t="shared" si="39"/>
        <v>0</v>
      </c>
      <c r="AY49" s="24">
        <f t="shared" si="40"/>
        <v>0</v>
      </c>
      <c r="AZ49" s="156">
        <f t="shared" si="41"/>
        <v>52272</v>
      </c>
      <c r="BA49" s="35">
        <f t="shared" si="42"/>
        <v>0.2376</v>
      </c>
      <c r="BB49" s="35">
        <f t="shared" si="43"/>
        <v>25.660800000000002</v>
      </c>
      <c r="BC49" s="36">
        <f t="shared" si="44"/>
        <v>32.218560000000004</v>
      </c>
      <c r="BD49" s="36">
        <f t="shared" si="45"/>
        <v>57.879360000000005</v>
      </c>
      <c r="BE49" s="36" t="str">
        <f t="shared" si="46"/>
        <v>yes</v>
      </c>
      <c r="BF49" s="37">
        <f t="shared" si="47"/>
        <v>0.2376</v>
      </c>
      <c r="BG49" s="37">
        <f t="shared" si="48"/>
        <v>25.660800000000002</v>
      </c>
      <c r="BH49" s="36">
        <f t="shared" si="49"/>
        <v>32.218560000000004</v>
      </c>
      <c r="BI49" s="38">
        <f t="shared" si="50"/>
        <v>57.879360000000005</v>
      </c>
      <c r="BJ49" s="1" t="str">
        <f t="shared" si="51"/>
        <v>yes</v>
      </c>
      <c r="BK49" s="37">
        <f t="shared" si="52"/>
        <v>0</v>
      </c>
      <c r="BL49" s="37">
        <f t="shared" si="53"/>
        <v>0</v>
      </c>
      <c r="BM49" s="7">
        <f t="shared" si="54"/>
        <v>0</v>
      </c>
      <c r="BN49" s="7">
        <f t="shared" si="55"/>
        <v>0</v>
      </c>
    </row>
    <row r="50" spans="2:66" ht="18" customHeight="1">
      <c r="B50" s="4" t="s">
        <v>13</v>
      </c>
      <c r="C50" s="29" t="s">
        <v>96</v>
      </c>
      <c r="D50" s="157" t="s">
        <v>191</v>
      </c>
      <c r="E50" s="158" t="s">
        <v>182</v>
      </c>
      <c r="F50" s="79">
        <f t="shared" si="14"/>
        <v>52272</v>
      </c>
      <c r="G50" s="80">
        <f t="shared" si="15"/>
        <v>40</v>
      </c>
      <c r="H50" s="149">
        <f t="shared" si="16"/>
        <v>4</v>
      </c>
      <c r="I50" s="150">
        <f t="shared" si="17"/>
        <v>10.227130434782609</v>
      </c>
      <c r="J50" s="83">
        <f t="shared" si="18"/>
        <v>7.954434782608696</v>
      </c>
      <c r="K50" s="84">
        <f t="shared" si="19"/>
        <v>10.227130434782609</v>
      </c>
      <c r="L50" s="151">
        <f t="shared" si="20"/>
        <v>7.954434782608696</v>
      </c>
      <c r="M50" s="152">
        <f t="shared" si="21"/>
        <v>10.227130434782609</v>
      </c>
      <c r="N50" s="188">
        <f t="shared" si="22"/>
        <v>0.2857142857142856</v>
      </c>
      <c r="O50" s="153">
        <f t="shared" si="23"/>
        <v>0</v>
      </c>
      <c r="P50" s="154">
        <f t="shared" si="24"/>
        <v>0</v>
      </c>
      <c r="Q50" s="176">
        <f t="shared" si="25"/>
      </c>
      <c r="R50" s="100">
        <f t="shared" si="26"/>
        <v>2.272695652173913</v>
      </c>
      <c r="S50" s="184">
        <f t="shared" si="27"/>
        <v>0.28571428571428564</v>
      </c>
      <c r="U50" s="207" t="s">
        <v>96</v>
      </c>
      <c r="V50" s="4" t="s">
        <v>13</v>
      </c>
      <c r="X50" s="155">
        <v>45</v>
      </c>
      <c r="Y50" s="155">
        <v>35</v>
      </c>
      <c r="Z50" s="155">
        <v>45</v>
      </c>
      <c r="AA50" s="155"/>
      <c r="AB50" s="155"/>
      <c r="AC50" s="155"/>
      <c r="AD50" s="155"/>
      <c r="AE50" s="155"/>
      <c r="AF50" s="155"/>
      <c r="AG50" s="32">
        <f t="shared" si="28"/>
        <v>45</v>
      </c>
      <c r="AH50" s="32">
        <f t="shared" si="29"/>
        <v>35</v>
      </c>
      <c r="AI50" s="32">
        <f t="shared" si="30"/>
        <v>45</v>
      </c>
      <c r="AJ50" s="23"/>
      <c r="AK50" s="204">
        <v>230000</v>
      </c>
      <c r="AL50" s="23"/>
      <c r="AM50" s="204">
        <v>230000</v>
      </c>
      <c r="AN50" s="23"/>
      <c r="AO50" s="204">
        <v>230000</v>
      </c>
      <c r="AP50" s="67">
        <f t="shared" si="31"/>
        <v>230000</v>
      </c>
      <c r="AQ50" s="34">
        <f t="shared" si="32"/>
        <v>100</v>
      </c>
      <c r="AR50" s="67">
        <f t="shared" si="33"/>
        <v>230000</v>
      </c>
      <c r="AS50" s="34">
        <f t="shared" si="34"/>
        <v>100</v>
      </c>
      <c r="AT50" s="28">
        <f t="shared" si="35"/>
        <v>35</v>
      </c>
      <c r="AU50" s="28">
        <f t="shared" si="36"/>
      </c>
      <c r="AV50" s="28">
        <f t="shared" si="37"/>
        <v>35</v>
      </c>
      <c r="AW50" s="24">
        <f t="shared" si="38"/>
        <v>10</v>
      </c>
      <c r="AX50" s="24">
        <f t="shared" si="39"/>
      </c>
      <c r="AY50" s="24">
        <f t="shared" si="40"/>
        <v>10</v>
      </c>
      <c r="AZ50" s="156">
        <f t="shared" si="41"/>
        <v>52272</v>
      </c>
      <c r="BA50" s="35">
        <f t="shared" si="42"/>
        <v>0.2272695652173913</v>
      </c>
      <c r="BB50" s="35">
        <f t="shared" si="43"/>
        <v>10.227130434782609</v>
      </c>
      <c r="BC50" s="36">
        <f t="shared" si="44"/>
        <v>0</v>
      </c>
      <c r="BD50" s="36">
        <f t="shared" si="45"/>
        <v>10.227130434782609</v>
      </c>
      <c r="BE50" s="36" t="str">
        <f t="shared" si="46"/>
        <v>yes</v>
      </c>
      <c r="BF50" s="37">
        <f t="shared" si="47"/>
        <v>0.2272695652173913</v>
      </c>
      <c r="BG50" s="37">
        <f t="shared" si="48"/>
        <v>7.954434782608696</v>
      </c>
      <c r="BH50" s="36">
        <f t="shared" si="49"/>
        <v>0</v>
      </c>
      <c r="BI50" s="38">
        <f t="shared" si="50"/>
        <v>7.954434782608696</v>
      </c>
      <c r="BJ50" s="1" t="str">
        <f t="shared" si="51"/>
        <v>yes</v>
      </c>
      <c r="BK50" s="37">
        <f t="shared" si="52"/>
        <v>2.272695652173913</v>
      </c>
      <c r="BL50" s="37">
        <f t="shared" si="53"/>
      </c>
      <c r="BM50" s="7">
        <f t="shared" si="54"/>
        <v>2.272695652173913</v>
      </c>
      <c r="BN50" s="7">
        <f t="shared" si="55"/>
        <v>0</v>
      </c>
    </row>
    <row r="51" spans="4:66" ht="18" customHeight="1">
      <c r="D51" s="157" t="s">
        <v>191</v>
      </c>
      <c r="E51" s="158" t="s">
        <v>231</v>
      </c>
      <c r="F51" s="79">
        <f t="shared" si="14"/>
        <v>52272</v>
      </c>
      <c r="G51" s="80">
        <f t="shared" si="15"/>
        <v>40</v>
      </c>
      <c r="H51" s="149">
        <f t="shared" si="16"/>
        <v>4</v>
      </c>
      <c r="I51" s="150">
        <f t="shared" si="17"/>
      </c>
      <c r="J51" s="83">
        <f t="shared" si="18"/>
        <v>13.612499999999999</v>
      </c>
      <c r="K51" s="84">
        <f t="shared" si="19"/>
        <v>13.068</v>
      </c>
      <c r="L51" s="151">
        <f t="shared" si="20"/>
        <v>13.612499999999999</v>
      </c>
      <c r="M51" s="152">
        <f t="shared" si="21"/>
        <v>13.068</v>
      </c>
      <c r="N51" s="188">
        <f t="shared" si="22"/>
        <v>-0.039999999999999925</v>
      </c>
      <c r="O51" s="153">
        <f t="shared" si="23"/>
        <v>0</v>
      </c>
      <c r="P51" s="154">
        <f t="shared" si="24"/>
        <v>0</v>
      </c>
      <c r="Q51" s="176">
        <f t="shared" si="25"/>
      </c>
      <c r="R51" s="100">
        <f t="shared" si="26"/>
        <v>-0.5444999999999993</v>
      </c>
      <c r="S51" s="184">
        <f t="shared" si="27"/>
        <v>-0.03999999999999995</v>
      </c>
      <c r="U51" s="208" t="s">
        <v>96</v>
      </c>
      <c r="V51" s="4" t="s">
        <v>12</v>
      </c>
      <c r="X51" s="155"/>
      <c r="Y51" s="155">
        <v>62.5</v>
      </c>
      <c r="Z51" s="155">
        <v>62.5</v>
      </c>
      <c r="AA51" s="155"/>
      <c r="AB51" s="155"/>
      <c r="AC51" s="155"/>
      <c r="AD51" s="155"/>
      <c r="AE51" s="155"/>
      <c r="AF51" s="155"/>
      <c r="AG51" s="32">
        <f t="shared" si="28"/>
        <v>0</v>
      </c>
      <c r="AH51" s="32">
        <f t="shared" si="29"/>
        <v>62.5</v>
      </c>
      <c r="AI51" s="32">
        <f t="shared" si="30"/>
        <v>62.5</v>
      </c>
      <c r="AJ51" s="33"/>
      <c r="AK51" s="204"/>
      <c r="AL51" s="33">
        <v>4800</v>
      </c>
      <c r="AM51" s="204">
        <v>240000</v>
      </c>
      <c r="AN51" s="33"/>
      <c r="AO51" s="204">
        <v>250000</v>
      </c>
      <c r="AP51" s="67">
        <f t="shared" si="31"/>
        <v>0</v>
      </c>
      <c r="AQ51" s="34" t="str">
        <f t="shared" si="32"/>
        <v>Not Avail.</v>
      </c>
      <c r="AR51" s="67">
        <f t="shared" si="33"/>
        <v>240000</v>
      </c>
      <c r="AS51" s="34">
        <f t="shared" si="34"/>
        <v>104.16666666666667</v>
      </c>
      <c r="AT51" s="28">
        <f t="shared" si="35"/>
        <v>60</v>
      </c>
      <c r="AU51" s="28">
        <f t="shared" si="36"/>
      </c>
      <c r="AV51" s="28">
        <f t="shared" si="37"/>
        <v>60</v>
      </c>
      <c r="AW51" s="24">
        <f t="shared" si="38"/>
        <v>2.5</v>
      </c>
      <c r="AX51" s="24">
        <f t="shared" si="39"/>
      </c>
      <c r="AY51" s="24">
        <f t="shared" si="40"/>
        <v>2.5</v>
      </c>
      <c r="AZ51" s="156">
        <f t="shared" si="41"/>
        <v>52272</v>
      </c>
      <c r="BA51" s="35">
        <f t="shared" si="42"/>
        <v>0.209088</v>
      </c>
      <c r="BB51" s="35">
        <f t="shared" si="43"/>
        <v>13.068</v>
      </c>
      <c r="BC51" s="36">
        <f t="shared" si="44"/>
        <v>0</v>
      </c>
      <c r="BD51" s="36">
        <f t="shared" si="45"/>
        <v>13.068</v>
      </c>
      <c r="BE51" s="36" t="str">
        <f t="shared" si="46"/>
        <v>yes</v>
      </c>
      <c r="BF51" s="37">
        <f t="shared" si="47"/>
        <v>0.2178</v>
      </c>
      <c r="BG51" s="37">
        <f t="shared" si="48"/>
        <v>13.612499999999999</v>
      </c>
      <c r="BH51" s="36">
        <f t="shared" si="49"/>
        <v>0</v>
      </c>
      <c r="BI51" s="38">
        <f t="shared" si="50"/>
        <v>13.612499999999999</v>
      </c>
      <c r="BJ51" s="1" t="str">
        <f t="shared" si="51"/>
        <v>yes</v>
      </c>
      <c r="BK51" s="37">
        <f t="shared" si="52"/>
        <v>-0.5444999999999993</v>
      </c>
      <c r="BL51" s="37">
        <f t="shared" si="53"/>
      </c>
      <c r="BM51" s="7">
        <f t="shared" si="54"/>
        <v>-0.5444999999999993</v>
      </c>
      <c r="BN51" s="7">
        <f t="shared" si="55"/>
        <v>0</v>
      </c>
    </row>
    <row r="52" spans="2:66" ht="18" customHeight="1">
      <c r="B52" s="4" t="s">
        <v>12</v>
      </c>
      <c r="C52" s="4" t="s">
        <v>95</v>
      </c>
      <c r="D52" s="159" t="s">
        <v>191</v>
      </c>
      <c r="E52" s="158" t="s">
        <v>149</v>
      </c>
      <c r="F52" s="79">
        <f t="shared" si="14"/>
        <v>52272</v>
      </c>
      <c r="G52" s="80">
        <f t="shared" si="15"/>
        <v>40</v>
      </c>
      <c r="H52" s="149">
        <f t="shared" si="16"/>
        <v>4</v>
      </c>
      <c r="I52" s="150">
        <f t="shared" si="17"/>
        <v>67.5972</v>
      </c>
      <c r="J52" s="83">
        <f t="shared" si="18"/>
        <v>62.22744</v>
      </c>
      <c r="K52" s="84">
        <f t="shared" si="19"/>
        <v>58.66344</v>
      </c>
      <c r="L52" s="151">
        <f t="shared" si="20"/>
        <v>21.384</v>
      </c>
      <c r="M52" s="152">
        <f t="shared" si="21"/>
        <v>17.82</v>
      </c>
      <c r="N52" s="188">
        <f t="shared" si="22"/>
        <v>-0.16666666666666663</v>
      </c>
      <c r="O52" s="153">
        <f t="shared" si="23"/>
        <v>40.84344</v>
      </c>
      <c r="P52" s="154">
        <f t="shared" si="24"/>
        <v>40.84344</v>
      </c>
      <c r="Q52" s="176">
        <f t="shared" si="25"/>
        <v>0</v>
      </c>
      <c r="R52" s="100">
        <f t="shared" si="26"/>
        <v>-3.564</v>
      </c>
      <c r="S52" s="184">
        <f t="shared" si="27"/>
        <v>-0.0572737686139748</v>
      </c>
      <c r="U52" s="208" t="s">
        <v>95</v>
      </c>
      <c r="V52" s="4" t="s">
        <v>12</v>
      </c>
      <c r="X52" s="162">
        <v>120</v>
      </c>
      <c r="Y52" s="162">
        <v>90</v>
      </c>
      <c r="Z52" s="162">
        <v>75</v>
      </c>
      <c r="AA52" s="31">
        <v>164.5</v>
      </c>
      <c r="AB52" s="31"/>
      <c r="AC52" s="206">
        <v>171.9</v>
      </c>
      <c r="AD52" s="31"/>
      <c r="AE52" s="206">
        <v>171.9</v>
      </c>
      <c r="AF52" s="31"/>
      <c r="AG52" s="32">
        <f t="shared" si="28"/>
        <v>284.5</v>
      </c>
      <c r="AH52" s="32">
        <f t="shared" si="29"/>
        <v>261.9</v>
      </c>
      <c r="AI52" s="32">
        <f t="shared" si="30"/>
        <v>246.9</v>
      </c>
      <c r="AJ52" s="33"/>
      <c r="AK52" s="33">
        <v>220000</v>
      </c>
      <c r="AL52" s="33"/>
      <c r="AM52" s="33">
        <v>220000</v>
      </c>
      <c r="AN52" s="33"/>
      <c r="AO52" s="33">
        <v>220000</v>
      </c>
      <c r="AP52" s="67">
        <f t="shared" si="31"/>
        <v>220000</v>
      </c>
      <c r="AQ52" s="34">
        <f t="shared" si="32"/>
        <v>100</v>
      </c>
      <c r="AR52" s="67">
        <f t="shared" si="33"/>
        <v>220000</v>
      </c>
      <c r="AS52" s="34">
        <f t="shared" si="34"/>
        <v>100</v>
      </c>
      <c r="AT52" s="28">
        <f t="shared" si="35"/>
        <v>90</v>
      </c>
      <c r="AU52" s="28">
        <f t="shared" si="36"/>
        <v>171.9</v>
      </c>
      <c r="AV52" s="28">
        <f t="shared" si="37"/>
        <v>261.9</v>
      </c>
      <c r="AW52" s="24">
        <f t="shared" si="38"/>
        <v>-15</v>
      </c>
      <c r="AX52" s="24">
        <f t="shared" si="39"/>
        <v>0</v>
      </c>
      <c r="AY52" s="24">
        <f t="shared" si="40"/>
        <v>-14.999999999999972</v>
      </c>
      <c r="AZ52" s="156">
        <f t="shared" si="41"/>
        <v>52272</v>
      </c>
      <c r="BA52" s="35">
        <f t="shared" si="42"/>
        <v>0.2376</v>
      </c>
      <c r="BB52" s="35">
        <f t="shared" si="43"/>
        <v>17.82</v>
      </c>
      <c r="BC52" s="36">
        <f t="shared" si="44"/>
        <v>40.84344</v>
      </c>
      <c r="BD52" s="36">
        <f t="shared" si="45"/>
        <v>58.66344</v>
      </c>
      <c r="BE52" s="36" t="str">
        <f t="shared" si="46"/>
        <v>yes</v>
      </c>
      <c r="BF52" s="37">
        <f t="shared" si="47"/>
        <v>0.2376</v>
      </c>
      <c r="BG52" s="37">
        <f t="shared" si="48"/>
        <v>21.384</v>
      </c>
      <c r="BH52" s="36">
        <f t="shared" si="49"/>
        <v>40.84344</v>
      </c>
      <c r="BI52" s="38">
        <f t="shared" si="50"/>
        <v>62.22744</v>
      </c>
      <c r="BJ52" s="1" t="str">
        <f t="shared" si="51"/>
        <v>yes</v>
      </c>
      <c r="BK52" s="37">
        <f t="shared" si="52"/>
        <v>-3.564</v>
      </c>
      <c r="BL52" s="37">
        <f t="shared" si="53"/>
        <v>0</v>
      </c>
      <c r="BM52" s="7">
        <f t="shared" si="54"/>
        <v>-3.564</v>
      </c>
      <c r="BN52" s="7">
        <f t="shared" si="55"/>
        <v>0</v>
      </c>
    </row>
    <row r="53" spans="4:66" ht="18" customHeight="1">
      <c r="D53" s="157" t="s">
        <v>191</v>
      </c>
      <c r="E53" s="158" t="s">
        <v>232</v>
      </c>
      <c r="F53" s="79">
        <f t="shared" si="14"/>
        <v>52272</v>
      </c>
      <c r="G53" s="80">
        <f t="shared" si="15"/>
        <v>40</v>
      </c>
      <c r="H53" s="149">
        <f t="shared" si="16"/>
        <v>4</v>
      </c>
      <c r="I53" s="150">
        <f t="shared" si="17"/>
      </c>
      <c r="J53" s="83">
        <f t="shared" si="18"/>
        <v>14.520000000000001</v>
      </c>
      <c r="K53" s="84">
        <f t="shared" si="19"/>
        <v>14.066738428417654</v>
      </c>
      <c r="L53" s="151">
        <f t="shared" si="20"/>
        <v>14.520000000000001</v>
      </c>
      <c r="M53" s="152">
        <f t="shared" si="21"/>
        <v>14.066738428417654</v>
      </c>
      <c r="N53" s="188">
        <f t="shared" si="22"/>
        <v>-0.031216361679225035</v>
      </c>
      <c r="O53" s="153">
        <f t="shared" si="23"/>
        <v>0</v>
      </c>
      <c r="P53" s="154">
        <f t="shared" si="24"/>
        <v>0</v>
      </c>
      <c r="Q53" s="176">
        <f t="shared" si="25"/>
      </c>
      <c r="R53" s="100">
        <f t="shared" si="26"/>
        <v>-0.45326157158234714</v>
      </c>
      <c r="S53" s="184">
        <f t="shared" si="27"/>
        <v>-0.031216361679225008</v>
      </c>
      <c r="U53" s="208" t="s">
        <v>96</v>
      </c>
      <c r="V53" s="4" t="s">
        <v>12</v>
      </c>
      <c r="X53" s="155"/>
      <c r="Y53" s="155">
        <v>62.5</v>
      </c>
      <c r="Z53" s="155">
        <v>62.5</v>
      </c>
      <c r="AA53" s="155"/>
      <c r="AB53" s="155"/>
      <c r="AC53" s="155"/>
      <c r="AD53" s="155"/>
      <c r="AE53" s="155"/>
      <c r="AF53" s="155"/>
      <c r="AG53" s="32">
        <f t="shared" si="28"/>
        <v>0</v>
      </c>
      <c r="AH53" s="32">
        <f t="shared" si="29"/>
        <v>62.5</v>
      </c>
      <c r="AI53" s="32">
        <f t="shared" si="30"/>
        <v>62.5</v>
      </c>
      <c r="AJ53" s="33"/>
      <c r="AK53" s="204"/>
      <c r="AL53" s="33">
        <v>4500</v>
      </c>
      <c r="AM53" s="204">
        <v>225000</v>
      </c>
      <c r="AN53" s="33"/>
      <c r="AO53" s="204">
        <v>232250</v>
      </c>
      <c r="AP53" s="67">
        <f t="shared" si="31"/>
        <v>0</v>
      </c>
      <c r="AQ53" s="34" t="str">
        <f t="shared" si="32"/>
        <v>Not Avail.</v>
      </c>
      <c r="AR53" s="67">
        <f t="shared" si="33"/>
        <v>225000</v>
      </c>
      <c r="AS53" s="34">
        <f t="shared" si="34"/>
        <v>103.22222222222221</v>
      </c>
      <c r="AT53" s="28">
        <f t="shared" si="35"/>
        <v>60.54897739504844</v>
      </c>
      <c r="AU53" s="28">
        <f t="shared" si="36"/>
      </c>
      <c r="AV53" s="28">
        <f t="shared" si="37"/>
        <v>60.54897739504844</v>
      </c>
      <c r="AW53" s="24">
        <f t="shared" si="38"/>
        <v>1.9510226049515609</v>
      </c>
      <c r="AX53" s="24">
        <f t="shared" si="39"/>
      </c>
      <c r="AY53" s="24">
        <f t="shared" si="40"/>
        <v>1.9510226049515609</v>
      </c>
      <c r="AZ53" s="156">
        <f t="shared" si="41"/>
        <v>52272</v>
      </c>
      <c r="BA53" s="35">
        <f t="shared" si="42"/>
        <v>0.22506781485468244</v>
      </c>
      <c r="BB53" s="35">
        <f t="shared" si="43"/>
        <v>14.066738428417654</v>
      </c>
      <c r="BC53" s="36">
        <f t="shared" si="44"/>
        <v>0</v>
      </c>
      <c r="BD53" s="36">
        <f t="shared" si="45"/>
        <v>14.066738428417654</v>
      </c>
      <c r="BE53" s="36" t="str">
        <f t="shared" si="46"/>
        <v>yes</v>
      </c>
      <c r="BF53" s="37">
        <f t="shared" si="47"/>
        <v>0.23232</v>
      </c>
      <c r="BG53" s="37">
        <f t="shared" si="48"/>
        <v>14.520000000000001</v>
      </c>
      <c r="BH53" s="36">
        <f t="shared" si="49"/>
        <v>0</v>
      </c>
      <c r="BI53" s="38">
        <f t="shared" si="50"/>
        <v>14.520000000000001</v>
      </c>
      <c r="BJ53" s="1" t="str">
        <f t="shared" si="51"/>
        <v>yes</v>
      </c>
      <c r="BK53" s="37">
        <f t="shared" si="52"/>
        <v>-0.45326157158234714</v>
      </c>
      <c r="BL53" s="37">
        <f t="shared" si="53"/>
      </c>
      <c r="BM53" s="7">
        <f t="shared" si="54"/>
        <v>-0.45326157158234714</v>
      </c>
      <c r="BN53" s="7">
        <f t="shared" si="55"/>
        <v>0</v>
      </c>
    </row>
    <row r="54" spans="2:66" ht="18" customHeight="1">
      <c r="B54" s="4" t="s">
        <v>12</v>
      </c>
      <c r="C54" s="4" t="s">
        <v>97</v>
      </c>
      <c r="D54" s="159" t="s">
        <v>191</v>
      </c>
      <c r="E54" s="158" t="s">
        <v>87</v>
      </c>
      <c r="F54" s="79">
        <f t="shared" si="14"/>
        <v>52272</v>
      </c>
      <c r="G54" s="80">
        <f t="shared" si="15"/>
        <v>40</v>
      </c>
      <c r="H54" s="149">
        <f t="shared" si="16"/>
        <v>4</v>
      </c>
      <c r="I54" s="150">
        <f t="shared" si="17"/>
        <v>56.7864</v>
      </c>
      <c r="J54" s="83">
        <f t="shared" si="18"/>
        <v>52.41456000000001</v>
      </c>
      <c r="K54" s="84">
        <f t="shared" si="19"/>
        <v>52.41456000000001</v>
      </c>
      <c r="L54" s="151">
        <f t="shared" si="20"/>
        <v>20.196</v>
      </c>
      <c r="M54" s="152">
        <f t="shared" si="21"/>
        <v>20.196</v>
      </c>
      <c r="N54" s="188">
        <f t="shared" si="22"/>
        <v>0</v>
      </c>
      <c r="O54" s="153">
        <f t="shared" si="23"/>
        <v>32.218560000000004</v>
      </c>
      <c r="P54" s="154">
        <f t="shared" si="24"/>
        <v>32.218560000000004</v>
      </c>
      <c r="Q54" s="176">
        <f t="shared" si="25"/>
        <v>0</v>
      </c>
      <c r="R54" s="100">
        <f t="shared" si="26"/>
        <v>0</v>
      </c>
      <c r="S54" s="184">
        <f t="shared" si="27"/>
        <v>0</v>
      </c>
      <c r="U54" s="208" t="s">
        <v>97</v>
      </c>
      <c r="V54" s="4" t="s">
        <v>12</v>
      </c>
      <c r="X54" s="162">
        <v>113</v>
      </c>
      <c r="Y54" s="162">
        <v>85</v>
      </c>
      <c r="Z54" s="162">
        <v>85</v>
      </c>
      <c r="AA54" s="31">
        <v>126</v>
      </c>
      <c r="AB54" s="31"/>
      <c r="AC54" s="31">
        <v>135.6</v>
      </c>
      <c r="AD54" s="31"/>
      <c r="AE54" s="31">
        <v>135.6</v>
      </c>
      <c r="AF54" s="31"/>
      <c r="AG54" s="32">
        <f t="shared" si="28"/>
        <v>239</v>
      </c>
      <c r="AH54" s="32">
        <f t="shared" si="29"/>
        <v>220.6</v>
      </c>
      <c r="AI54" s="32">
        <f t="shared" si="30"/>
        <v>220.6</v>
      </c>
      <c r="AJ54" s="33"/>
      <c r="AK54" s="25">
        <v>220000</v>
      </c>
      <c r="AL54" s="33"/>
      <c r="AM54" s="25">
        <v>220000</v>
      </c>
      <c r="AN54" s="33"/>
      <c r="AO54" s="25">
        <v>220000</v>
      </c>
      <c r="AP54" s="67">
        <f t="shared" si="31"/>
        <v>220000</v>
      </c>
      <c r="AQ54" s="34">
        <f t="shared" si="32"/>
        <v>100</v>
      </c>
      <c r="AR54" s="67">
        <f t="shared" si="33"/>
        <v>220000</v>
      </c>
      <c r="AS54" s="34">
        <f t="shared" si="34"/>
        <v>100</v>
      </c>
      <c r="AT54" s="28">
        <f t="shared" si="35"/>
        <v>85</v>
      </c>
      <c r="AU54" s="28">
        <f t="shared" si="36"/>
        <v>135.6</v>
      </c>
      <c r="AV54" s="28">
        <f t="shared" si="37"/>
        <v>220.6</v>
      </c>
      <c r="AW54" s="24">
        <f t="shared" si="38"/>
        <v>0</v>
      </c>
      <c r="AX54" s="24">
        <f t="shared" si="39"/>
        <v>0</v>
      </c>
      <c r="AY54" s="24">
        <f t="shared" si="40"/>
        <v>0</v>
      </c>
      <c r="AZ54" s="156">
        <f t="shared" si="41"/>
        <v>52272</v>
      </c>
      <c r="BA54" s="35">
        <f t="shared" si="42"/>
        <v>0.2376</v>
      </c>
      <c r="BB54" s="35">
        <f t="shared" si="43"/>
        <v>20.196</v>
      </c>
      <c r="BC54" s="36">
        <f t="shared" si="44"/>
        <v>32.218560000000004</v>
      </c>
      <c r="BD54" s="36">
        <f t="shared" si="45"/>
        <v>52.41456000000001</v>
      </c>
      <c r="BE54" s="36" t="str">
        <f t="shared" si="46"/>
        <v>yes</v>
      </c>
      <c r="BF54" s="37">
        <f t="shared" si="47"/>
        <v>0.2376</v>
      </c>
      <c r="BG54" s="37">
        <f t="shared" si="48"/>
        <v>20.196</v>
      </c>
      <c r="BH54" s="36">
        <f t="shared" si="49"/>
        <v>32.218560000000004</v>
      </c>
      <c r="BI54" s="38">
        <f t="shared" si="50"/>
        <v>52.41456000000001</v>
      </c>
      <c r="BJ54" s="1" t="str">
        <f t="shared" si="51"/>
        <v>yes</v>
      </c>
      <c r="BK54" s="37">
        <f t="shared" si="52"/>
        <v>0</v>
      </c>
      <c r="BL54" s="37">
        <f t="shared" si="53"/>
        <v>0</v>
      </c>
      <c r="BM54" s="7">
        <f t="shared" si="54"/>
        <v>0</v>
      </c>
      <c r="BN54" s="7">
        <f t="shared" si="55"/>
        <v>0</v>
      </c>
    </row>
    <row r="55" spans="2:66" ht="18" customHeight="1">
      <c r="B55" s="4" t="s">
        <v>12</v>
      </c>
      <c r="C55" s="4" t="s">
        <v>97</v>
      </c>
      <c r="D55" s="159" t="s">
        <v>191</v>
      </c>
      <c r="E55" s="158" t="s">
        <v>10</v>
      </c>
      <c r="F55" s="79">
        <f t="shared" si="14"/>
        <v>52272</v>
      </c>
      <c r="G55" s="80">
        <f t="shared" si="15"/>
        <v>40</v>
      </c>
      <c r="H55" s="149">
        <f t="shared" si="16"/>
        <v>4</v>
      </c>
      <c r="I55" s="150">
        <f t="shared" si="17"/>
        <v>56.7864</v>
      </c>
      <c r="J55" s="83">
        <f t="shared" si="18"/>
        <v>57.879360000000005</v>
      </c>
      <c r="K55" s="84">
        <f t="shared" si="19"/>
        <v>57.879360000000005</v>
      </c>
      <c r="L55" s="151">
        <f t="shared" si="20"/>
        <v>25.660800000000002</v>
      </c>
      <c r="M55" s="152">
        <f t="shared" si="21"/>
        <v>25.660800000000002</v>
      </c>
      <c r="N55" s="188">
        <f t="shared" si="22"/>
        <v>0</v>
      </c>
      <c r="O55" s="153">
        <f t="shared" si="23"/>
        <v>32.218560000000004</v>
      </c>
      <c r="P55" s="154">
        <f t="shared" si="24"/>
        <v>32.218560000000004</v>
      </c>
      <c r="Q55" s="176">
        <f t="shared" si="25"/>
        <v>0</v>
      </c>
      <c r="R55" s="100">
        <f t="shared" si="26"/>
        <v>0</v>
      </c>
      <c r="S55" s="184">
        <f t="shared" si="27"/>
        <v>0</v>
      </c>
      <c r="U55" s="208" t="s">
        <v>97</v>
      </c>
      <c r="V55" s="4" t="s">
        <v>12</v>
      </c>
      <c r="X55" s="162">
        <v>113</v>
      </c>
      <c r="Y55" s="162">
        <v>108</v>
      </c>
      <c r="Z55" s="162">
        <v>108</v>
      </c>
      <c r="AA55" s="31">
        <v>126</v>
      </c>
      <c r="AB55" s="31"/>
      <c r="AC55" s="31">
        <v>135.6</v>
      </c>
      <c r="AD55" s="31"/>
      <c r="AE55" s="31">
        <v>135.6</v>
      </c>
      <c r="AF55" s="31"/>
      <c r="AG55" s="32">
        <f t="shared" si="28"/>
        <v>239</v>
      </c>
      <c r="AH55" s="32">
        <f t="shared" si="29"/>
        <v>243.6</v>
      </c>
      <c r="AI55" s="32">
        <f t="shared" si="30"/>
        <v>243.6</v>
      </c>
      <c r="AJ55" s="33"/>
      <c r="AK55" s="33">
        <v>220000</v>
      </c>
      <c r="AL55" s="33"/>
      <c r="AM55" s="33">
        <v>220000</v>
      </c>
      <c r="AN55" s="33"/>
      <c r="AO55" s="33">
        <v>220000</v>
      </c>
      <c r="AP55" s="67">
        <f t="shared" si="31"/>
        <v>220000</v>
      </c>
      <c r="AQ55" s="34">
        <f t="shared" si="32"/>
        <v>100</v>
      </c>
      <c r="AR55" s="67">
        <f t="shared" si="33"/>
        <v>220000</v>
      </c>
      <c r="AS55" s="34">
        <f t="shared" si="34"/>
        <v>100</v>
      </c>
      <c r="AT55" s="28">
        <f t="shared" si="35"/>
        <v>108</v>
      </c>
      <c r="AU55" s="28">
        <f t="shared" si="36"/>
        <v>135.6</v>
      </c>
      <c r="AV55" s="28">
        <f t="shared" si="37"/>
        <v>243.6</v>
      </c>
      <c r="AW55" s="24">
        <f t="shared" si="38"/>
        <v>0</v>
      </c>
      <c r="AX55" s="24">
        <f t="shared" si="39"/>
        <v>0</v>
      </c>
      <c r="AY55" s="24">
        <f t="shared" si="40"/>
        <v>0</v>
      </c>
      <c r="AZ55" s="156">
        <f t="shared" si="41"/>
        <v>52272</v>
      </c>
      <c r="BA55" s="35">
        <f t="shared" si="42"/>
        <v>0.2376</v>
      </c>
      <c r="BB55" s="35">
        <f t="shared" si="43"/>
        <v>25.660800000000002</v>
      </c>
      <c r="BC55" s="36">
        <f t="shared" si="44"/>
        <v>32.218560000000004</v>
      </c>
      <c r="BD55" s="36">
        <f t="shared" si="45"/>
        <v>57.879360000000005</v>
      </c>
      <c r="BE55" s="36" t="str">
        <f t="shared" si="46"/>
        <v>yes</v>
      </c>
      <c r="BF55" s="37">
        <f t="shared" si="47"/>
        <v>0.2376</v>
      </c>
      <c r="BG55" s="37">
        <f t="shared" si="48"/>
        <v>25.660800000000002</v>
      </c>
      <c r="BH55" s="36">
        <f t="shared" si="49"/>
        <v>32.218560000000004</v>
      </c>
      <c r="BI55" s="38">
        <f t="shared" si="50"/>
        <v>57.879360000000005</v>
      </c>
      <c r="BJ55" s="1" t="str">
        <f t="shared" si="51"/>
        <v>yes</v>
      </c>
      <c r="BK55" s="37">
        <f t="shared" si="52"/>
        <v>0</v>
      </c>
      <c r="BL55" s="37">
        <f t="shared" si="53"/>
        <v>0</v>
      </c>
      <c r="BM55" s="7">
        <f t="shared" si="54"/>
        <v>0</v>
      </c>
      <c r="BN55" s="7">
        <f t="shared" si="55"/>
        <v>0</v>
      </c>
    </row>
    <row r="56" spans="2:66" ht="18" customHeight="1">
      <c r="B56" s="4" t="s">
        <v>12</v>
      </c>
      <c r="C56" s="29" t="s">
        <v>95</v>
      </c>
      <c r="D56" s="159" t="s">
        <v>191</v>
      </c>
      <c r="E56" s="158" t="s">
        <v>123</v>
      </c>
      <c r="F56" s="79">
        <f t="shared" si="14"/>
        <v>52272</v>
      </c>
      <c r="G56" s="80">
        <f t="shared" si="15"/>
        <v>40</v>
      </c>
      <c r="H56" s="149">
        <f t="shared" si="16"/>
        <v>4</v>
      </c>
      <c r="I56" s="150">
        <f t="shared" si="17"/>
        <v>67.5972</v>
      </c>
      <c r="J56" s="83">
        <f t="shared" si="18"/>
        <v>68.16744</v>
      </c>
      <c r="K56" s="84">
        <f t="shared" si="19"/>
        <v>68.16744</v>
      </c>
      <c r="L56" s="151">
        <f t="shared" si="20"/>
        <v>27.324</v>
      </c>
      <c r="M56" s="152">
        <f t="shared" si="21"/>
        <v>27.324</v>
      </c>
      <c r="N56" s="188">
        <f t="shared" si="22"/>
        <v>0</v>
      </c>
      <c r="O56" s="153">
        <f t="shared" si="23"/>
        <v>40.84344</v>
      </c>
      <c r="P56" s="154">
        <f t="shared" si="24"/>
        <v>40.84344</v>
      </c>
      <c r="Q56" s="176">
        <f t="shared" si="25"/>
        <v>0</v>
      </c>
      <c r="R56" s="100">
        <f t="shared" si="26"/>
        <v>0</v>
      </c>
      <c r="S56" s="184">
        <f t="shared" si="27"/>
        <v>0</v>
      </c>
      <c r="U56" s="207" t="s">
        <v>95</v>
      </c>
      <c r="V56" s="4" t="s">
        <v>12</v>
      </c>
      <c r="X56" s="155">
        <v>120</v>
      </c>
      <c r="Y56" s="155">
        <v>115</v>
      </c>
      <c r="Z56" s="155">
        <v>115</v>
      </c>
      <c r="AA56" s="30">
        <v>164.5</v>
      </c>
      <c r="AB56" s="30"/>
      <c r="AC56" s="30">
        <v>171.9</v>
      </c>
      <c r="AD56" s="30"/>
      <c r="AE56" s="30">
        <v>171.9</v>
      </c>
      <c r="AF56" s="30"/>
      <c r="AG56" s="32">
        <f t="shared" si="28"/>
        <v>284.5</v>
      </c>
      <c r="AH56" s="32">
        <f t="shared" si="29"/>
        <v>286.9</v>
      </c>
      <c r="AI56" s="32">
        <f t="shared" si="30"/>
        <v>286.9</v>
      </c>
      <c r="AJ56" s="23"/>
      <c r="AK56" s="25">
        <v>220000</v>
      </c>
      <c r="AL56" s="23"/>
      <c r="AM56" s="25">
        <v>220000</v>
      </c>
      <c r="AN56" s="23"/>
      <c r="AO56" s="25">
        <v>220000</v>
      </c>
      <c r="AP56" s="67">
        <f t="shared" si="31"/>
        <v>220000</v>
      </c>
      <c r="AQ56" s="34">
        <f t="shared" si="32"/>
        <v>100</v>
      </c>
      <c r="AR56" s="67">
        <f t="shared" si="33"/>
        <v>220000</v>
      </c>
      <c r="AS56" s="34">
        <f t="shared" si="34"/>
        <v>100</v>
      </c>
      <c r="AT56" s="28">
        <f t="shared" si="35"/>
        <v>114.99999999999999</v>
      </c>
      <c r="AU56" s="28">
        <f t="shared" si="36"/>
        <v>171.9</v>
      </c>
      <c r="AV56" s="28">
        <f t="shared" si="37"/>
        <v>286.9</v>
      </c>
      <c r="AW56" s="24">
        <f t="shared" si="38"/>
        <v>1.4210854715202004E-14</v>
      </c>
      <c r="AX56" s="24">
        <f t="shared" si="39"/>
        <v>0</v>
      </c>
      <c r="AY56" s="24">
        <f t="shared" si="40"/>
        <v>0</v>
      </c>
      <c r="AZ56" s="156">
        <f t="shared" si="41"/>
        <v>52272</v>
      </c>
      <c r="BA56" s="35">
        <f t="shared" si="42"/>
        <v>0.2376</v>
      </c>
      <c r="BB56" s="35">
        <f t="shared" si="43"/>
        <v>27.324</v>
      </c>
      <c r="BC56" s="36">
        <f t="shared" si="44"/>
        <v>40.84344</v>
      </c>
      <c r="BD56" s="36">
        <f t="shared" si="45"/>
        <v>68.16744</v>
      </c>
      <c r="BE56" s="36" t="str">
        <f t="shared" si="46"/>
        <v>yes</v>
      </c>
      <c r="BF56" s="37">
        <f t="shared" si="47"/>
        <v>0.2376</v>
      </c>
      <c r="BG56" s="37">
        <f t="shared" si="48"/>
        <v>27.324</v>
      </c>
      <c r="BH56" s="36">
        <f t="shared" si="49"/>
        <v>40.84344</v>
      </c>
      <c r="BI56" s="38">
        <f t="shared" si="50"/>
        <v>68.16744</v>
      </c>
      <c r="BJ56" s="1" t="str">
        <f t="shared" si="51"/>
        <v>yes</v>
      </c>
      <c r="BK56" s="37">
        <f t="shared" si="52"/>
        <v>0</v>
      </c>
      <c r="BL56" s="37">
        <f t="shared" si="53"/>
        <v>0</v>
      </c>
      <c r="BM56" s="7">
        <f t="shared" si="54"/>
        <v>0</v>
      </c>
      <c r="BN56" s="7">
        <f t="shared" si="55"/>
        <v>0</v>
      </c>
    </row>
    <row r="57" spans="2:66" ht="18" customHeight="1">
      <c r="B57" s="4" t="s">
        <v>12</v>
      </c>
      <c r="C57" s="29" t="s">
        <v>95</v>
      </c>
      <c r="D57" s="159" t="s">
        <v>191</v>
      </c>
      <c r="E57" s="158" t="s">
        <v>122</v>
      </c>
      <c r="F57" s="79">
        <f t="shared" si="14"/>
        <v>52272</v>
      </c>
      <c r="G57" s="80">
        <f t="shared" si="15"/>
        <v>40</v>
      </c>
      <c r="H57" s="149">
        <f t="shared" si="16"/>
        <v>4</v>
      </c>
      <c r="I57" s="150">
        <f t="shared" si="17"/>
        <v>67.5972</v>
      </c>
      <c r="J57" s="83">
        <f t="shared" si="18"/>
        <v>68.16744</v>
      </c>
      <c r="K57" s="84">
        <f t="shared" si="19"/>
        <v>68.16744</v>
      </c>
      <c r="L57" s="151">
        <f t="shared" si="20"/>
        <v>27.324</v>
      </c>
      <c r="M57" s="152">
        <f t="shared" si="21"/>
        <v>27.324</v>
      </c>
      <c r="N57" s="188">
        <f t="shared" si="22"/>
        <v>0</v>
      </c>
      <c r="O57" s="153">
        <f t="shared" si="23"/>
        <v>40.84344</v>
      </c>
      <c r="P57" s="154">
        <f t="shared" si="24"/>
        <v>40.84344</v>
      </c>
      <c r="Q57" s="176">
        <f t="shared" si="25"/>
        <v>0</v>
      </c>
      <c r="R57" s="100">
        <f t="shared" si="26"/>
        <v>0</v>
      </c>
      <c r="S57" s="184">
        <f t="shared" si="27"/>
        <v>0</v>
      </c>
      <c r="U57" s="207" t="s">
        <v>95</v>
      </c>
      <c r="V57" s="4" t="s">
        <v>12</v>
      </c>
      <c r="X57" s="155">
        <v>120</v>
      </c>
      <c r="Y57" s="155">
        <v>115</v>
      </c>
      <c r="Z57" s="155">
        <v>115</v>
      </c>
      <c r="AA57" s="30">
        <v>164.5</v>
      </c>
      <c r="AB57" s="30"/>
      <c r="AC57" s="206">
        <v>171.9</v>
      </c>
      <c r="AD57" s="30"/>
      <c r="AE57" s="206">
        <v>171.9</v>
      </c>
      <c r="AF57" s="30"/>
      <c r="AG57" s="32">
        <f t="shared" si="28"/>
        <v>284.5</v>
      </c>
      <c r="AH57" s="32">
        <f t="shared" si="29"/>
        <v>286.9</v>
      </c>
      <c r="AI57" s="32">
        <f t="shared" si="30"/>
        <v>286.9</v>
      </c>
      <c r="AJ57" s="23"/>
      <c r="AK57" s="25">
        <v>220000</v>
      </c>
      <c r="AL57" s="23"/>
      <c r="AM57" s="25">
        <v>220000</v>
      </c>
      <c r="AN57" s="23"/>
      <c r="AO57" s="25">
        <v>220000</v>
      </c>
      <c r="AP57" s="67">
        <f t="shared" si="31"/>
        <v>220000</v>
      </c>
      <c r="AQ57" s="34">
        <f t="shared" si="32"/>
        <v>100</v>
      </c>
      <c r="AR57" s="67">
        <f t="shared" si="33"/>
        <v>220000</v>
      </c>
      <c r="AS57" s="34">
        <f t="shared" si="34"/>
        <v>100</v>
      </c>
      <c r="AT57" s="28">
        <f t="shared" si="35"/>
        <v>114.99999999999999</v>
      </c>
      <c r="AU57" s="28">
        <f t="shared" si="36"/>
        <v>171.9</v>
      </c>
      <c r="AV57" s="28">
        <f t="shared" si="37"/>
        <v>286.9</v>
      </c>
      <c r="AW57" s="24">
        <f t="shared" si="38"/>
        <v>1.4210854715202004E-14</v>
      </c>
      <c r="AX57" s="24">
        <f t="shared" si="39"/>
        <v>0</v>
      </c>
      <c r="AY57" s="24">
        <f t="shared" si="40"/>
        <v>0</v>
      </c>
      <c r="AZ57" s="156">
        <f t="shared" si="41"/>
        <v>52272</v>
      </c>
      <c r="BA57" s="35">
        <f t="shared" si="42"/>
        <v>0.2376</v>
      </c>
      <c r="BB57" s="35">
        <f t="shared" si="43"/>
        <v>27.324</v>
      </c>
      <c r="BC57" s="36">
        <f t="shared" si="44"/>
        <v>40.84344</v>
      </c>
      <c r="BD57" s="36">
        <f t="shared" si="45"/>
        <v>68.16744</v>
      </c>
      <c r="BE57" s="36" t="str">
        <f t="shared" si="46"/>
        <v>yes</v>
      </c>
      <c r="BF57" s="37">
        <f t="shared" si="47"/>
        <v>0.2376</v>
      </c>
      <c r="BG57" s="37">
        <f t="shared" si="48"/>
        <v>27.324</v>
      </c>
      <c r="BH57" s="36">
        <f t="shared" si="49"/>
        <v>40.84344</v>
      </c>
      <c r="BI57" s="38">
        <f t="shared" si="50"/>
        <v>68.16744</v>
      </c>
      <c r="BJ57" s="1" t="str">
        <f t="shared" si="51"/>
        <v>yes</v>
      </c>
      <c r="BK57" s="37">
        <f t="shared" si="52"/>
        <v>0</v>
      </c>
      <c r="BL57" s="37">
        <f t="shared" si="53"/>
        <v>0</v>
      </c>
      <c r="BM57" s="7">
        <f t="shared" si="54"/>
        <v>0</v>
      </c>
      <c r="BN57" s="7">
        <f t="shared" si="55"/>
        <v>0</v>
      </c>
    </row>
    <row r="58" spans="2:66" ht="18" customHeight="1">
      <c r="B58" s="4" t="s">
        <v>12</v>
      </c>
      <c r="C58" s="4" t="s">
        <v>96</v>
      </c>
      <c r="D58" s="157" t="s">
        <v>191</v>
      </c>
      <c r="E58" s="158" t="s">
        <v>183</v>
      </c>
      <c r="F58" s="79">
        <f t="shared" si="14"/>
        <v>52272</v>
      </c>
      <c r="G58" s="80">
        <f t="shared" si="15"/>
        <v>40</v>
      </c>
      <c r="H58" s="149">
        <f t="shared" si="16"/>
        <v>4</v>
      </c>
      <c r="I58" s="150">
        <f t="shared" si="17"/>
        <v>10.4544</v>
      </c>
      <c r="J58" s="83">
        <f t="shared" si="18"/>
        <v>11.499839999999999</v>
      </c>
      <c r="K58" s="84">
        <f t="shared" si="19"/>
        <v>11.499839999999999</v>
      </c>
      <c r="L58" s="151">
        <f t="shared" si="20"/>
        <v>11.499839999999999</v>
      </c>
      <c r="M58" s="152">
        <f t="shared" si="21"/>
        <v>11.499839999999999</v>
      </c>
      <c r="N58" s="188">
        <f t="shared" si="22"/>
        <v>0</v>
      </c>
      <c r="O58" s="153">
        <f t="shared" si="23"/>
        <v>0</v>
      </c>
      <c r="P58" s="154">
        <f t="shared" si="24"/>
        <v>0</v>
      </c>
      <c r="Q58" s="176">
        <f t="shared" si="25"/>
      </c>
      <c r="R58" s="100">
        <f t="shared" si="26"/>
        <v>0</v>
      </c>
      <c r="S58" s="184">
        <f t="shared" si="27"/>
        <v>0</v>
      </c>
      <c r="U58" s="208" t="s">
        <v>96</v>
      </c>
      <c r="V58" s="4" t="s">
        <v>12</v>
      </c>
      <c r="X58" s="155">
        <v>50</v>
      </c>
      <c r="Y58" s="155">
        <v>55</v>
      </c>
      <c r="Z58" s="155">
        <v>55</v>
      </c>
      <c r="AA58" s="155"/>
      <c r="AB58" s="155"/>
      <c r="AC58" s="155"/>
      <c r="AD58" s="155"/>
      <c r="AE58" s="155"/>
      <c r="AF58" s="155"/>
      <c r="AG58" s="32">
        <f t="shared" si="28"/>
        <v>50</v>
      </c>
      <c r="AH58" s="32">
        <f t="shared" si="29"/>
        <v>55</v>
      </c>
      <c r="AI58" s="32">
        <f t="shared" si="30"/>
        <v>55</v>
      </c>
      <c r="AJ58" s="33"/>
      <c r="AK58" s="204">
        <v>250000</v>
      </c>
      <c r="AL58" s="33"/>
      <c r="AM58" s="204">
        <v>250000</v>
      </c>
      <c r="AN58" s="33"/>
      <c r="AO58" s="204">
        <v>250000</v>
      </c>
      <c r="AP58" s="67">
        <f t="shared" si="31"/>
        <v>250000</v>
      </c>
      <c r="AQ58" s="34">
        <f t="shared" si="32"/>
        <v>100</v>
      </c>
      <c r="AR58" s="67">
        <f t="shared" si="33"/>
        <v>250000</v>
      </c>
      <c r="AS58" s="34">
        <f t="shared" si="34"/>
        <v>100</v>
      </c>
      <c r="AT58" s="28">
        <f t="shared" si="35"/>
        <v>55.00000000000001</v>
      </c>
      <c r="AU58" s="28">
        <f t="shared" si="36"/>
      </c>
      <c r="AV58" s="28">
        <f t="shared" si="37"/>
        <v>55.00000000000001</v>
      </c>
      <c r="AW58" s="24">
        <f t="shared" si="38"/>
        <v>-7.105427357601002E-15</v>
      </c>
      <c r="AX58" s="24">
        <f t="shared" si="39"/>
      </c>
      <c r="AY58" s="24">
        <f t="shared" si="40"/>
        <v>-7.105427357601002E-15</v>
      </c>
      <c r="AZ58" s="156">
        <f t="shared" si="41"/>
        <v>52272</v>
      </c>
      <c r="BA58" s="35">
        <f t="shared" si="42"/>
        <v>0.209088</v>
      </c>
      <c r="BB58" s="35">
        <f t="shared" si="43"/>
        <v>11.499839999999999</v>
      </c>
      <c r="BC58" s="36">
        <f t="shared" si="44"/>
        <v>0</v>
      </c>
      <c r="BD58" s="36">
        <f t="shared" si="45"/>
        <v>11.499839999999999</v>
      </c>
      <c r="BE58" s="36" t="str">
        <f t="shared" si="46"/>
        <v>yes</v>
      </c>
      <c r="BF58" s="37">
        <f t="shared" si="47"/>
        <v>0.209088</v>
      </c>
      <c r="BG58" s="37">
        <f t="shared" si="48"/>
        <v>11.499839999999999</v>
      </c>
      <c r="BH58" s="36">
        <f t="shared" si="49"/>
        <v>0</v>
      </c>
      <c r="BI58" s="38">
        <f t="shared" si="50"/>
        <v>11.499839999999999</v>
      </c>
      <c r="BJ58" s="1" t="str">
        <f t="shared" si="51"/>
        <v>yes</v>
      </c>
      <c r="BK58" s="37">
        <f t="shared" si="52"/>
        <v>0</v>
      </c>
      <c r="BL58" s="37">
        <f t="shared" si="53"/>
      </c>
      <c r="BM58" s="7">
        <f t="shared" si="54"/>
        <v>0</v>
      </c>
      <c r="BN58" s="7">
        <f t="shared" si="55"/>
        <v>0</v>
      </c>
    </row>
    <row r="59" spans="2:66" ht="18" customHeight="1">
      <c r="B59" s="4" t="s">
        <v>13</v>
      </c>
      <c r="C59" s="4" t="s">
        <v>96</v>
      </c>
      <c r="D59" s="157" t="s">
        <v>191</v>
      </c>
      <c r="E59" s="158" t="s">
        <v>30</v>
      </c>
      <c r="F59" s="79">
        <f t="shared" si="14"/>
        <v>52272</v>
      </c>
      <c r="G59" s="80">
        <f t="shared" si="15"/>
        <v>40</v>
      </c>
      <c r="H59" s="149">
        <f t="shared" si="16"/>
        <v>4</v>
      </c>
      <c r="I59" s="150">
        <f t="shared" si="17"/>
        <v>10.940651162790697</v>
      </c>
      <c r="J59" s="83">
        <f t="shared" si="18"/>
        <v>10.940651162790699</v>
      </c>
      <c r="K59" s="84">
        <f t="shared" si="19"/>
        <v>10.940651162790699</v>
      </c>
      <c r="L59" s="151">
        <f t="shared" si="20"/>
        <v>10.940651162790699</v>
      </c>
      <c r="M59" s="152">
        <f t="shared" si="21"/>
        <v>10.940651162790699</v>
      </c>
      <c r="N59" s="188">
        <f t="shared" si="22"/>
        <v>0</v>
      </c>
      <c r="O59" s="153">
        <f t="shared" si="23"/>
        <v>0</v>
      </c>
      <c r="P59" s="154">
        <f t="shared" si="24"/>
        <v>0</v>
      </c>
      <c r="Q59" s="176">
        <f t="shared" si="25"/>
      </c>
      <c r="R59" s="100">
        <f t="shared" si="26"/>
        <v>0</v>
      </c>
      <c r="S59" s="184">
        <f t="shared" si="27"/>
        <v>0</v>
      </c>
      <c r="U59" s="208" t="s">
        <v>96</v>
      </c>
      <c r="V59" s="4" t="s">
        <v>13</v>
      </c>
      <c r="X59" s="32">
        <v>45</v>
      </c>
      <c r="Y59" s="32">
        <v>45</v>
      </c>
      <c r="Z59" s="32">
        <v>45</v>
      </c>
      <c r="AA59" s="32"/>
      <c r="AB59" s="32"/>
      <c r="AC59" s="32"/>
      <c r="AD59" s="32"/>
      <c r="AE59" s="32"/>
      <c r="AF59" s="32"/>
      <c r="AG59" s="32">
        <f t="shared" si="28"/>
        <v>45</v>
      </c>
      <c r="AH59" s="32">
        <f t="shared" si="29"/>
        <v>45</v>
      </c>
      <c r="AI59" s="32">
        <f t="shared" si="30"/>
        <v>45</v>
      </c>
      <c r="AJ59" s="33"/>
      <c r="AK59" s="204">
        <v>215000</v>
      </c>
      <c r="AL59" s="33"/>
      <c r="AM59" s="204">
        <v>215000</v>
      </c>
      <c r="AN59" s="33"/>
      <c r="AO59" s="204">
        <v>215000</v>
      </c>
      <c r="AP59" s="67">
        <f t="shared" si="31"/>
        <v>215000</v>
      </c>
      <c r="AQ59" s="34">
        <f t="shared" si="32"/>
        <v>100</v>
      </c>
      <c r="AR59" s="67">
        <f t="shared" si="33"/>
        <v>215000</v>
      </c>
      <c r="AS59" s="34">
        <f t="shared" si="34"/>
        <v>100</v>
      </c>
      <c r="AT59" s="28">
        <f t="shared" si="35"/>
        <v>45</v>
      </c>
      <c r="AU59" s="28">
        <f t="shared" si="36"/>
      </c>
      <c r="AV59" s="28">
        <f t="shared" si="37"/>
        <v>45</v>
      </c>
      <c r="AW59" s="24">
        <f t="shared" si="38"/>
        <v>0</v>
      </c>
      <c r="AX59" s="24">
        <f t="shared" si="39"/>
      </c>
      <c r="AY59" s="24">
        <f t="shared" si="40"/>
        <v>0</v>
      </c>
      <c r="AZ59" s="156">
        <f t="shared" si="41"/>
        <v>52272</v>
      </c>
      <c r="BA59" s="35">
        <f t="shared" si="42"/>
        <v>0.24312558139534884</v>
      </c>
      <c r="BB59" s="35">
        <f t="shared" si="43"/>
        <v>10.940651162790699</v>
      </c>
      <c r="BC59" s="36">
        <f t="shared" si="44"/>
        <v>0</v>
      </c>
      <c r="BD59" s="36">
        <f t="shared" si="45"/>
        <v>10.940651162790699</v>
      </c>
      <c r="BE59" s="36" t="str">
        <f t="shared" si="46"/>
        <v>yes</v>
      </c>
      <c r="BF59" s="37">
        <f t="shared" si="47"/>
        <v>0.24312558139534884</v>
      </c>
      <c r="BG59" s="37">
        <f t="shared" si="48"/>
        <v>10.940651162790699</v>
      </c>
      <c r="BH59" s="36">
        <f t="shared" si="49"/>
        <v>0</v>
      </c>
      <c r="BI59" s="38">
        <f t="shared" si="50"/>
        <v>10.940651162790699</v>
      </c>
      <c r="BJ59" s="1" t="str">
        <f t="shared" si="51"/>
        <v>yes</v>
      </c>
      <c r="BK59" s="37">
        <f t="shared" si="52"/>
        <v>0</v>
      </c>
      <c r="BL59" s="37">
        <f t="shared" si="53"/>
      </c>
      <c r="BM59" s="7">
        <f t="shared" si="54"/>
        <v>0</v>
      </c>
      <c r="BN59" s="7">
        <f t="shared" si="55"/>
        <v>0</v>
      </c>
    </row>
    <row r="60" spans="2:66" ht="18" customHeight="1">
      <c r="B60" s="4" t="s">
        <v>12</v>
      </c>
      <c r="C60" s="29" t="s">
        <v>95</v>
      </c>
      <c r="D60" s="157" t="s">
        <v>69</v>
      </c>
      <c r="E60" s="158" t="s">
        <v>72</v>
      </c>
      <c r="F60" s="79">
        <f t="shared" si="14"/>
        <v>52272</v>
      </c>
      <c r="G60" s="80">
        <f t="shared" si="15"/>
        <v>40</v>
      </c>
      <c r="H60" s="149">
        <f t="shared" si="16"/>
        <v>4</v>
      </c>
      <c r="I60" s="150">
        <f t="shared" si="17"/>
        <v>68.15814260869564</v>
      </c>
      <c r="J60" s="83">
        <f t="shared" si="18"/>
        <v>65.40818086956523</v>
      </c>
      <c r="K60" s="84">
        <f t="shared" si="19"/>
        <v>65.40818086956523</v>
      </c>
      <c r="L60" s="151">
        <f t="shared" si="20"/>
        <v>24.545113043478263</v>
      </c>
      <c r="M60" s="152">
        <f t="shared" si="21"/>
        <v>24.545113043478263</v>
      </c>
      <c r="N60" s="188">
        <f t="shared" si="22"/>
        <v>0</v>
      </c>
      <c r="O60" s="153">
        <f t="shared" si="23"/>
        <v>40.86306782608696</v>
      </c>
      <c r="P60" s="154">
        <f t="shared" si="24"/>
        <v>40.86306782608696</v>
      </c>
      <c r="Q60" s="176">
        <f t="shared" si="25"/>
        <v>0</v>
      </c>
      <c r="R60" s="100">
        <f t="shared" si="26"/>
        <v>0</v>
      </c>
      <c r="S60" s="184">
        <f t="shared" si="27"/>
        <v>0</v>
      </c>
      <c r="U60" s="207" t="s">
        <v>95</v>
      </c>
      <c r="V60" s="4" t="s">
        <v>12</v>
      </c>
      <c r="X60" s="155">
        <v>128</v>
      </c>
      <c r="Y60" s="155">
        <v>108</v>
      </c>
      <c r="Z60" s="155">
        <v>108</v>
      </c>
      <c r="AA60" s="32">
        <v>171.9</v>
      </c>
      <c r="AB60" s="155"/>
      <c r="AC60" s="32">
        <v>179.8</v>
      </c>
      <c r="AD60" s="155"/>
      <c r="AE60" s="32">
        <v>179.8</v>
      </c>
      <c r="AF60" s="155"/>
      <c r="AG60" s="32">
        <f t="shared" si="28"/>
        <v>299.9</v>
      </c>
      <c r="AH60" s="32">
        <f t="shared" si="29"/>
        <v>287.8</v>
      </c>
      <c r="AI60" s="32">
        <f t="shared" si="30"/>
        <v>287.8</v>
      </c>
      <c r="AJ60" s="23"/>
      <c r="AK60" s="33">
        <v>230000</v>
      </c>
      <c r="AL60" s="23"/>
      <c r="AM60" s="33">
        <v>230000</v>
      </c>
      <c r="AN60" s="23"/>
      <c r="AO60" s="33">
        <v>230000</v>
      </c>
      <c r="AP60" s="67">
        <f t="shared" si="31"/>
        <v>230000</v>
      </c>
      <c r="AQ60" s="34">
        <f t="shared" si="32"/>
        <v>100</v>
      </c>
      <c r="AR60" s="67">
        <f t="shared" si="33"/>
        <v>230000</v>
      </c>
      <c r="AS60" s="34">
        <f t="shared" si="34"/>
        <v>100</v>
      </c>
      <c r="AT60" s="28">
        <f t="shared" si="35"/>
        <v>108</v>
      </c>
      <c r="AU60" s="28">
        <f t="shared" si="36"/>
        <v>179.8</v>
      </c>
      <c r="AV60" s="28">
        <f t="shared" si="37"/>
        <v>287.8</v>
      </c>
      <c r="AW60" s="24">
        <f t="shared" si="38"/>
        <v>0</v>
      </c>
      <c r="AX60" s="24">
        <f t="shared" si="39"/>
        <v>0</v>
      </c>
      <c r="AY60" s="24">
        <f t="shared" si="40"/>
        <v>0</v>
      </c>
      <c r="AZ60" s="156">
        <f t="shared" si="41"/>
        <v>52272</v>
      </c>
      <c r="BA60" s="35">
        <f t="shared" si="42"/>
        <v>0.2272695652173913</v>
      </c>
      <c r="BB60" s="35">
        <f t="shared" si="43"/>
        <v>24.545113043478263</v>
      </c>
      <c r="BC60" s="36">
        <f t="shared" si="44"/>
        <v>40.86306782608696</v>
      </c>
      <c r="BD60" s="36">
        <f t="shared" si="45"/>
        <v>65.40818086956523</v>
      </c>
      <c r="BE60" s="36" t="str">
        <f t="shared" si="46"/>
        <v>yes</v>
      </c>
      <c r="BF60" s="37">
        <f t="shared" si="47"/>
        <v>0.2272695652173913</v>
      </c>
      <c r="BG60" s="37">
        <f t="shared" si="48"/>
        <v>24.545113043478263</v>
      </c>
      <c r="BH60" s="36">
        <f t="shared" si="49"/>
        <v>40.86306782608696</v>
      </c>
      <c r="BI60" s="38">
        <f t="shared" si="50"/>
        <v>65.40818086956523</v>
      </c>
      <c r="BJ60" s="1" t="str">
        <f t="shared" si="51"/>
        <v>yes</v>
      </c>
      <c r="BK60" s="37">
        <f t="shared" si="52"/>
        <v>0</v>
      </c>
      <c r="BL60" s="37">
        <f t="shared" si="53"/>
        <v>0</v>
      </c>
      <c r="BM60" s="7">
        <f t="shared" si="54"/>
        <v>0</v>
      </c>
      <c r="BN60" s="7">
        <f t="shared" si="55"/>
        <v>0</v>
      </c>
    </row>
    <row r="61" spans="2:66" ht="18" customHeight="1">
      <c r="B61" s="4" t="s">
        <v>12</v>
      </c>
      <c r="C61" s="4" t="s">
        <v>95</v>
      </c>
      <c r="D61" s="157" t="s">
        <v>69</v>
      </c>
      <c r="E61" s="158" t="s">
        <v>73</v>
      </c>
      <c r="F61" s="79">
        <f t="shared" si="14"/>
        <v>52272</v>
      </c>
      <c r="G61" s="80">
        <f t="shared" si="15"/>
        <v>40</v>
      </c>
      <c r="H61" s="149">
        <f t="shared" si="16"/>
        <v>4</v>
      </c>
      <c r="I61" s="150">
        <f t="shared" si="17"/>
        <v>68.15814260869564</v>
      </c>
      <c r="J61" s="83">
        <f t="shared" si="18"/>
        <v>65.40818086956523</v>
      </c>
      <c r="K61" s="84">
        <f t="shared" si="19"/>
        <v>65.40818086956523</v>
      </c>
      <c r="L61" s="151">
        <f t="shared" si="20"/>
        <v>24.545113043478263</v>
      </c>
      <c r="M61" s="152">
        <f t="shared" si="21"/>
        <v>24.545113043478263</v>
      </c>
      <c r="N61" s="188">
        <f t="shared" si="22"/>
        <v>0</v>
      </c>
      <c r="O61" s="153">
        <f t="shared" si="23"/>
        <v>40.86306782608696</v>
      </c>
      <c r="P61" s="154">
        <f t="shared" si="24"/>
        <v>40.86306782608696</v>
      </c>
      <c r="Q61" s="176">
        <f t="shared" si="25"/>
        <v>0</v>
      </c>
      <c r="R61" s="100">
        <f t="shared" si="26"/>
        <v>0</v>
      </c>
      <c r="S61" s="184">
        <f t="shared" si="27"/>
        <v>0</v>
      </c>
      <c r="U61" s="208" t="s">
        <v>95</v>
      </c>
      <c r="V61" s="4" t="s">
        <v>12</v>
      </c>
      <c r="X61" s="32">
        <v>128</v>
      </c>
      <c r="Y61" s="32">
        <v>108</v>
      </c>
      <c r="Z61" s="32">
        <v>108</v>
      </c>
      <c r="AA61" s="32">
        <v>171.9</v>
      </c>
      <c r="AB61" s="32"/>
      <c r="AC61" s="32">
        <v>179.8</v>
      </c>
      <c r="AD61" s="32"/>
      <c r="AE61" s="32">
        <v>179.8</v>
      </c>
      <c r="AF61" s="32"/>
      <c r="AG61" s="32">
        <f t="shared" si="28"/>
        <v>299.9</v>
      </c>
      <c r="AH61" s="32">
        <f t="shared" si="29"/>
        <v>287.8</v>
      </c>
      <c r="AI61" s="32">
        <f t="shared" si="30"/>
        <v>287.8</v>
      </c>
      <c r="AJ61" s="33"/>
      <c r="AK61" s="33">
        <v>230000</v>
      </c>
      <c r="AL61" s="33"/>
      <c r="AM61" s="33">
        <v>230000</v>
      </c>
      <c r="AN61" s="33"/>
      <c r="AO61" s="33">
        <v>230000</v>
      </c>
      <c r="AP61" s="67">
        <f t="shared" si="31"/>
        <v>230000</v>
      </c>
      <c r="AQ61" s="34">
        <f t="shared" si="32"/>
        <v>100</v>
      </c>
      <c r="AR61" s="67">
        <f t="shared" si="33"/>
        <v>230000</v>
      </c>
      <c r="AS61" s="34">
        <f t="shared" si="34"/>
        <v>100</v>
      </c>
      <c r="AT61" s="28">
        <f t="shared" si="35"/>
        <v>108</v>
      </c>
      <c r="AU61" s="28">
        <f t="shared" si="36"/>
        <v>179.8</v>
      </c>
      <c r="AV61" s="28">
        <f t="shared" si="37"/>
        <v>287.8</v>
      </c>
      <c r="AW61" s="24">
        <f t="shared" si="38"/>
        <v>0</v>
      </c>
      <c r="AX61" s="24">
        <f t="shared" si="39"/>
        <v>0</v>
      </c>
      <c r="AY61" s="24">
        <f t="shared" si="40"/>
        <v>0</v>
      </c>
      <c r="AZ61" s="156">
        <f t="shared" si="41"/>
        <v>52272</v>
      </c>
      <c r="BA61" s="35">
        <f t="shared" si="42"/>
        <v>0.2272695652173913</v>
      </c>
      <c r="BB61" s="35">
        <f t="shared" si="43"/>
        <v>24.545113043478263</v>
      </c>
      <c r="BC61" s="36">
        <f t="shared" si="44"/>
        <v>40.86306782608696</v>
      </c>
      <c r="BD61" s="36">
        <f t="shared" si="45"/>
        <v>65.40818086956523</v>
      </c>
      <c r="BE61" s="36" t="str">
        <f t="shared" si="46"/>
        <v>yes</v>
      </c>
      <c r="BF61" s="37">
        <f t="shared" si="47"/>
        <v>0.2272695652173913</v>
      </c>
      <c r="BG61" s="37">
        <f t="shared" si="48"/>
        <v>24.545113043478263</v>
      </c>
      <c r="BH61" s="36">
        <f t="shared" si="49"/>
        <v>40.86306782608696</v>
      </c>
      <c r="BI61" s="38">
        <f t="shared" si="50"/>
        <v>65.40818086956523</v>
      </c>
      <c r="BJ61" s="1" t="str">
        <f t="shared" si="51"/>
        <v>yes</v>
      </c>
      <c r="BK61" s="37">
        <f t="shared" si="52"/>
        <v>0</v>
      </c>
      <c r="BL61" s="37">
        <f t="shared" si="53"/>
        <v>0</v>
      </c>
      <c r="BM61" s="7">
        <f t="shared" si="54"/>
        <v>0</v>
      </c>
      <c r="BN61" s="7">
        <f t="shared" si="55"/>
        <v>0</v>
      </c>
    </row>
    <row r="62" spans="2:66" ht="18" customHeight="1">
      <c r="B62" s="4" t="s">
        <v>12</v>
      </c>
      <c r="C62" s="4" t="s">
        <v>95</v>
      </c>
      <c r="D62" s="157" t="s">
        <v>69</v>
      </c>
      <c r="E62" s="158" t="s">
        <v>17</v>
      </c>
      <c r="F62" s="79">
        <f t="shared" si="14"/>
        <v>52272</v>
      </c>
      <c r="G62" s="80">
        <f t="shared" si="15"/>
        <v>40</v>
      </c>
      <c r="H62" s="149">
        <f t="shared" si="16"/>
        <v>4</v>
      </c>
      <c r="I62" s="150">
        <f t="shared" si="17"/>
        <v>68.15814260869564</v>
      </c>
      <c r="J62" s="83">
        <f t="shared" si="18"/>
        <v>69.95357217391305</v>
      </c>
      <c r="K62" s="84">
        <f t="shared" si="19"/>
        <v>69.95357217391305</v>
      </c>
      <c r="L62" s="151">
        <f t="shared" si="20"/>
        <v>29.09050434782609</v>
      </c>
      <c r="M62" s="152">
        <f t="shared" si="21"/>
        <v>29.09050434782609</v>
      </c>
      <c r="N62" s="188">
        <f t="shared" si="22"/>
        <v>0</v>
      </c>
      <c r="O62" s="153">
        <f t="shared" si="23"/>
        <v>40.86306782608696</v>
      </c>
      <c r="P62" s="154">
        <f t="shared" si="24"/>
        <v>40.86306782608696</v>
      </c>
      <c r="Q62" s="176">
        <f t="shared" si="25"/>
        <v>0</v>
      </c>
      <c r="R62" s="100">
        <f t="shared" si="26"/>
        <v>0</v>
      </c>
      <c r="S62" s="184">
        <f t="shared" si="27"/>
        <v>0</v>
      </c>
      <c r="U62" s="208" t="s">
        <v>95</v>
      </c>
      <c r="V62" s="4" t="s">
        <v>12</v>
      </c>
      <c r="X62" s="32">
        <v>128</v>
      </c>
      <c r="Y62" s="32">
        <v>128</v>
      </c>
      <c r="Z62" s="32">
        <v>128</v>
      </c>
      <c r="AA62" s="32">
        <v>171.9</v>
      </c>
      <c r="AB62" s="32"/>
      <c r="AC62" s="32">
        <v>179.8</v>
      </c>
      <c r="AD62" s="32"/>
      <c r="AE62" s="32">
        <v>179.8</v>
      </c>
      <c r="AF62" s="32"/>
      <c r="AG62" s="32">
        <f t="shared" si="28"/>
        <v>299.9</v>
      </c>
      <c r="AH62" s="32">
        <f t="shared" si="29"/>
        <v>307.8</v>
      </c>
      <c r="AI62" s="32">
        <f t="shared" si="30"/>
        <v>307.8</v>
      </c>
      <c r="AJ62" s="33"/>
      <c r="AK62" s="33">
        <v>230000</v>
      </c>
      <c r="AL62" s="33"/>
      <c r="AM62" s="33">
        <v>230000</v>
      </c>
      <c r="AN62" s="33"/>
      <c r="AO62" s="33">
        <v>230000</v>
      </c>
      <c r="AP62" s="67">
        <f t="shared" si="31"/>
        <v>230000</v>
      </c>
      <c r="AQ62" s="34">
        <f t="shared" si="32"/>
        <v>100</v>
      </c>
      <c r="AR62" s="67">
        <f t="shared" si="33"/>
        <v>230000</v>
      </c>
      <c r="AS62" s="34">
        <f t="shared" si="34"/>
        <v>100</v>
      </c>
      <c r="AT62" s="28">
        <f t="shared" si="35"/>
        <v>128</v>
      </c>
      <c r="AU62" s="28">
        <f t="shared" si="36"/>
        <v>179.8</v>
      </c>
      <c r="AV62" s="28">
        <f t="shared" si="37"/>
        <v>307.8</v>
      </c>
      <c r="AW62" s="24">
        <f t="shared" si="38"/>
        <v>0</v>
      </c>
      <c r="AX62" s="24">
        <f t="shared" si="39"/>
        <v>0</v>
      </c>
      <c r="AY62" s="24">
        <f t="shared" si="40"/>
        <v>0</v>
      </c>
      <c r="AZ62" s="156">
        <f t="shared" si="41"/>
        <v>52272</v>
      </c>
      <c r="BA62" s="35">
        <f t="shared" si="42"/>
        <v>0.2272695652173913</v>
      </c>
      <c r="BB62" s="35">
        <f t="shared" si="43"/>
        <v>29.09050434782609</v>
      </c>
      <c r="BC62" s="36">
        <f t="shared" si="44"/>
        <v>40.86306782608696</v>
      </c>
      <c r="BD62" s="36">
        <f t="shared" si="45"/>
        <v>69.95357217391305</v>
      </c>
      <c r="BE62" s="36" t="str">
        <f t="shared" si="46"/>
        <v>yes</v>
      </c>
      <c r="BF62" s="37">
        <f t="shared" si="47"/>
        <v>0.2272695652173913</v>
      </c>
      <c r="BG62" s="37">
        <f t="shared" si="48"/>
        <v>29.09050434782609</v>
      </c>
      <c r="BH62" s="36">
        <f t="shared" si="49"/>
        <v>40.86306782608696</v>
      </c>
      <c r="BI62" s="38">
        <f t="shared" si="50"/>
        <v>69.95357217391305</v>
      </c>
      <c r="BJ62" s="1" t="str">
        <f t="shared" si="51"/>
        <v>yes</v>
      </c>
      <c r="BK62" s="37">
        <f t="shared" si="52"/>
        <v>0</v>
      </c>
      <c r="BL62" s="37">
        <f t="shared" si="53"/>
        <v>0</v>
      </c>
      <c r="BM62" s="7">
        <f t="shared" si="54"/>
        <v>0</v>
      </c>
      <c r="BN62" s="7">
        <f t="shared" si="55"/>
        <v>0</v>
      </c>
    </row>
    <row r="63" spans="2:66" ht="18" customHeight="1">
      <c r="B63" s="4" t="s">
        <v>12</v>
      </c>
      <c r="C63" s="4" t="s">
        <v>95</v>
      </c>
      <c r="D63" s="157" t="s">
        <v>69</v>
      </c>
      <c r="E63" s="191" t="s">
        <v>7</v>
      </c>
      <c r="F63" s="79">
        <f t="shared" si="14"/>
        <v>52272</v>
      </c>
      <c r="G63" s="80">
        <f t="shared" si="15"/>
        <v>40</v>
      </c>
      <c r="H63" s="149">
        <f t="shared" si="16"/>
        <v>4</v>
      </c>
      <c r="I63" s="150">
        <f t="shared" si="17"/>
        <v>68.15814260869564</v>
      </c>
      <c r="J63" s="83">
        <f t="shared" si="18"/>
        <v>65.40818086956523</v>
      </c>
      <c r="K63" s="84">
        <f t="shared" si="19"/>
        <v>65.40818086956523</v>
      </c>
      <c r="L63" s="151">
        <f t="shared" si="20"/>
        <v>24.545113043478263</v>
      </c>
      <c r="M63" s="152">
        <f t="shared" si="21"/>
        <v>24.545113043478263</v>
      </c>
      <c r="N63" s="188">
        <f t="shared" si="22"/>
        <v>0</v>
      </c>
      <c r="O63" s="153">
        <f t="shared" si="23"/>
        <v>40.86306782608696</v>
      </c>
      <c r="P63" s="154">
        <f t="shared" si="24"/>
        <v>40.86306782608696</v>
      </c>
      <c r="Q63" s="176">
        <f t="shared" si="25"/>
        <v>0</v>
      </c>
      <c r="R63" s="100">
        <f t="shared" si="26"/>
        <v>0</v>
      </c>
      <c r="S63" s="184">
        <f t="shared" si="27"/>
        <v>0</v>
      </c>
      <c r="U63" s="208" t="s">
        <v>95</v>
      </c>
      <c r="V63" s="4" t="s">
        <v>12</v>
      </c>
      <c r="X63" s="32">
        <v>128</v>
      </c>
      <c r="Y63" s="32">
        <v>108</v>
      </c>
      <c r="Z63" s="32">
        <v>108</v>
      </c>
      <c r="AA63" s="32">
        <v>171.9</v>
      </c>
      <c r="AB63" s="32"/>
      <c r="AC63" s="32">
        <v>179.8</v>
      </c>
      <c r="AD63" s="32"/>
      <c r="AE63" s="32">
        <v>179.8</v>
      </c>
      <c r="AF63" s="32"/>
      <c r="AG63" s="32">
        <f t="shared" si="28"/>
        <v>299.9</v>
      </c>
      <c r="AH63" s="32">
        <f t="shared" si="29"/>
        <v>287.8</v>
      </c>
      <c r="AI63" s="32">
        <f t="shared" si="30"/>
        <v>287.8</v>
      </c>
      <c r="AJ63" s="33"/>
      <c r="AK63" s="33">
        <v>230000</v>
      </c>
      <c r="AL63" s="33"/>
      <c r="AM63" s="33">
        <v>230000</v>
      </c>
      <c r="AN63" s="33"/>
      <c r="AO63" s="33">
        <v>230000</v>
      </c>
      <c r="AP63" s="67">
        <f t="shared" si="31"/>
        <v>230000</v>
      </c>
      <c r="AQ63" s="34">
        <f t="shared" si="32"/>
        <v>100</v>
      </c>
      <c r="AR63" s="67">
        <f t="shared" si="33"/>
        <v>230000</v>
      </c>
      <c r="AS63" s="34">
        <f t="shared" si="34"/>
        <v>100</v>
      </c>
      <c r="AT63" s="28">
        <f t="shared" si="35"/>
        <v>108</v>
      </c>
      <c r="AU63" s="28">
        <f t="shared" si="36"/>
        <v>179.8</v>
      </c>
      <c r="AV63" s="28">
        <f t="shared" si="37"/>
        <v>287.8</v>
      </c>
      <c r="AW63" s="24">
        <f t="shared" si="38"/>
        <v>0</v>
      </c>
      <c r="AX63" s="24">
        <f t="shared" si="39"/>
        <v>0</v>
      </c>
      <c r="AY63" s="24">
        <f t="shared" si="40"/>
        <v>0</v>
      </c>
      <c r="AZ63" s="156">
        <f t="shared" si="41"/>
        <v>52272</v>
      </c>
      <c r="BA63" s="35">
        <f t="shared" si="42"/>
        <v>0.2272695652173913</v>
      </c>
      <c r="BB63" s="35">
        <f t="shared" si="43"/>
        <v>24.545113043478263</v>
      </c>
      <c r="BC63" s="36">
        <f t="shared" si="44"/>
        <v>40.86306782608696</v>
      </c>
      <c r="BD63" s="36">
        <f t="shared" si="45"/>
        <v>65.40818086956523</v>
      </c>
      <c r="BE63" s="36" t="str">
        <f t="shared" si="46"/>
        <v>yes</v>
      </c>
      <c r="BF63" s="37">
        <f t="shared" si="47"/>
        <v>0.2272695652173913</v>
      </c>
      <c r="BG63" s="37">
        <f t="shared" si="48"/>
        <v>24.545113043478263</v>
      </c>
      <c r="BH63" s="36">
        <f t="shared" si="49"/>
        <v>40.86306782608696</v>
      </c>
      <c r="BI63" s="38">
        <f t="shared" si="50"/>
        <v>65.40818086956523</v>
      </c>
      <c r="BJ63" s="1" t="str">
        <f t="shared" si="51"/>
        <v>yes</v>
      </c>
      <c r="BK63" s="37">
        <f t="shared" si="52"/>
        <v>0</v>
      </c>
      <c r="BL63" s="37">
        <f t="shared" si="53"/>
        <v>0</v>
      </c>
      <c r="BM63" s="7">
        <f t="shared" si="54"/>
        <v>0</v>
      </c>
      <c r="BN63" s="7">
        <f t="shared" si="55"/>
        <v>0</v>
      </c>
    </row>
    <row r="64" spans="2:66" ht="18" customHeight="1">
      <c r="B64" s="4" t="s">
        <v>12</v>
      </c>
      <c r="C64" s="4" t="s">
        <v>95</v>
      </c>
      <c r="D64" s="157" t="s">
        <v>69</v>
      </c>
      <c r="E64" s="191" t="s">
        <v>8</v>
      </c>
      <c r="F64" s="79">
        <f t="shared" si="14"/>
        <v>52272</v>
      </c>
      <c r="G64" s="80">
        <f t="shared" si="15"/>
        <v>40</v>
      </c>
      <c r="H64" s="149">
        <f t="shared" si="16"/>
        <v>4</v>
      </c>
      <c r="I64" s="150">
        <f t="shared" si="17"/>
        <v>68.15814260869564</v>
      </c>
      <c r="J64" s="83">
        <f t="shared" si="18"/>
        <v>65.40818086956523</v>
      </c>
      <c r="K64" s="84">
        <f t="shared" si="19"/>
        <v>65.40818086956523</v>
      </c>
      <c r="L64" s="151">
        <f t="shared" si="20"/>
        <v>24.545113043478263</v>
      </c>
      <c r="M64" s="152">
        <f t="shared" si="21"/>
        <v>24.545113043478263</v>
      </c>
      <c r="N64" s="188">
        <f t="shared" si="22"/>
        <v>0</v>
      </c>
      <c r="O64" s="153">
        <f t="shared" si="23"/>
        <v>40.86306782608696</v>
      </c>
      <c r="P64" s="154">
        <f t="shared" si="24"/>
        <v>40.86306782608696</v>
      </c>
      <c r="Q64" s="176">
        <f t="shared" si="25"/>
        <v>0</v>
      </c>
      <c r="R64" s="100">
        <f t="shared" si="26"/>
        <v>0</v>
      </c>
      <c r="S64" s="184">
        <f t="shared" si="27"/>
        <v>0</v>
      </c>
      <c r="U64" s="208" t="s">
        <v>95</v>
      </c>
      <c r="V64" s="4" t="s">
        <v>12</v>
      </c>
      <c r="X64" s="32">
        <v>128</v>
      </c>
      <c r="Y64" s="32">
        <v>108</v>
      </c>
      <c r="Z64" s="32">
        <v>108</v>
      </c>
      <c r="AA64" s="32">
        <v>171.9</v>
      </c>
      <c r="AB64" s="32"/>
      <c r="AC64" s="32">
        <v>179.8</v>
      </c>
      <c r="AD64" s="32"/>
      <c r="AE64" s="32">
        <v>179.8</v>
      </c>
      <c r="AF64" s="32"/>
      <c r="AG64" s="32">
        <f t="shared" si="28"/>
        <v>299.9</v>
      </c>
      <c r="AH64" s="32">
        <f t="shared" si="29"/>
        <v>287.8</v>
      </c>
      <c r="AI64" s="32">
        <f t="shared" si="30"/>
        <v>287.8</v>
      </c>
      <c r="AJ64" s="33"/>
      <c r="AK64" s="33">
        <v>230000</v>
      </c>
      <c r="AL64" s="33"/>
      <c r="AM64" s="33">
        <v>230000</v>
      </c>
      <c r="AN64" s="33"/>
      <c r="AO64" s="33">
        <v>230000</v>
      </c>
      <c r="AP64" s="67">
        <f t="shared" si="31"/>
        <v>230000</v>
      </c>
      <c r="AQ64" s="34">
        <f t="shared" si="32"/>
        <v>100</v>
      </c>
      <c r="AR64" s="67">
        <f t="shared" si="33"/>
        <v>230000</v>
      </c>
      <c r="AS64" s="34">
        <f t="shared" si="34"/>
        <v>100</v>
      </c>
      <c r="AT64" s="28">
        <f t="shared" si="35"/>
        <v>108</v>
      </c>
      <c r="AU64" s="28">
        <f t="shared" si="36"/>
        <v>179.8</v>
      </c>
      <c r="AV64" s="28">
        <f t="shared" si="37"/>
        <v>287.8</v>
      </c>
      <c r="AW64" s="24">
        <f t="shared" si="38"/>
        <v>0</v>
      </c>
      <c r="AX64" s="24">
        <f t="shared" si="39"/>
        <v>0</v>
      </c>
      <c r="AY64" s="24">
        <f t="shared" si="40"/>
        <v>0</v>
      </c>
      <c r="AZ64" s="156">
        <f t="shared" si="41"/>
        <v>52272</v>
      </c>
      <c r="BA64" s="35">
        <f t="shared" si="42"/>
        <v>0.2272695652173913</v>
      </c>
      <c r="BB64" s="35">
        <f t="shared" si="43"/>
        <v>24.545113043478263</v>
      </c>
      <c r="BC64" s="36">
        <f t="shared" si="44"/>
        <v>40.86306782608696</v>
      </c>
      <c r="BD64" s="36">
        <f t="shared" si="45"/>
        <v>65.40818086956523</v>
      </c>
      <c r="BE64" s="36" t="str">
        <f t="shared" si="46"/>
        <v>yes</v>
      </c>
      <c r="BF64" s="37">
        <f t="shared" si="47"/>
        <v>0.2272695652173913</v>
      </c>
      <c r="BG64" s="37">
        <f t="shared" si="48"/>
        <v>24.545113043478263</v>
      </c>
      <c r="BH64" s="36">
        <f t="shared" si="49"/>
        <v>40.86306782608696</v>
      </c>
      <c r="BI64" s="38">
        <f t="shared" si="50"/>
        <v>65.40818086956523</v>
      </c>
      <c r="BJ64" s="1" t="str">
        <f t="shared" si="51"/>
        <v>yes</v>
      </c>
      <c r="BK64" s="37">
        <f t="shared" si="52"/>
        <v>0</v>
      </c>
      <c r="BL64" s="37">
        <f t="shared" si="53"/>
        <v>0</v>
      </c>
      <c r="BM64" s="7">
        <f t="shared" si="54"/>
        <v>0</v>
      </c>
      <c r="BN64" s="7">
        <f t="shared" si="55"/>
        <v>0</v>
      </c>
    </row>
    <row r="65" spans="4:66" ht="18" customHeight="1">
      <c r="D65" s="157" t="s">
        <v>74</v>
      </c>
      <c r="E65" s="158" t="s">
        <v>208</v>
      </c>
      <c r="F65" s="79">
        <f t="shared" si="14"/>
        <v>52272</v>
      </c>
      <c r="G65" s="80">
        <f t="shared" si="15"/>
        <v>40</v>
      </c>
      <c r="H65" s="149">
        <f t="shared" si="16"/>
        <v>4</v>
      </c>
      <c r="I65" s="150">
        <f t="shared" si="17"/>
        <v>0</v>
      </c>
      <c r="J65" s="83">
        <f t="shared" si="18"/>
        <v>0</v>
      </c>
      <c r="K65" s="84">
        <f t="shared" si="19"/>
        <v>70.86265043478261</v>
      </c>
      <c r="L65" s="151">
        <f t="shared" si="20"/>
      </c>
      <c r="M65" s="152">
        <f t="shared" si="21"/>
        <v>29.999582608695654</v>
      </c>
      <c r="N65" s="188" t="str">
        <f t="shared" si="22"/>
        <v>New</v>
      </c>
      <c r="O65" s="153">
        <f t="shared" si="23"/>
      </c>
      <c r="P65" s="154">
        <f t="shared" si="24"/>
        <v>40.86306782608696</v>
      </c>
      <c r="Q65" s="176" t="str">
        <f t="shared" si="25"/>
        <v>New</v>
      </c>
      <c r="R65" s="100" t="str">
        <f t="shared" si="26"/>
        <v>New</v>
      </c>
      <c r="S65" s="184">
        <f t="shared" si="27"/>
      </c>
      <c r="U65" s="208" t="s">
        <v>95</v>
      </c>
      <c r="V65" s="4" t="s">
        <v>12</v>
      </c>
      <c r="X65" s="155"/>
      <c r="Y65" s="155"/>
      <c r="Z65" s="155">
        <v>132</v>
      </c>
      <c r="AA65" s="155"/>
      <c r="AB65" s="155"/>
      <c r="AC65" s="155"/>
      <c r="AD65" s="155"/>
      <c r="AE65" s="155">
        <v>179.8</v>
      </c>
      <c r="AF65" s="155"/>
      <c r="AG65" s="32">
        <f t="shared" si="28"/>
        <v>0</v>
      </c>
      <c r="AH65" s="32">
        <f t="shared" si="29"/>
        <v>0</v>
      </c>
      <c r="AI65" s="32">
        <f t="shared" si="30"/>
        <v>311.8</v>
      </c>
      <c r="AJ65" s="33"/>
      <c r="AK65" s="33">
        <v>230000</v>
      </c>
      <c r="AL65" s="33"/>
      <c r="AM65" s="33">
        <v>230000</v>
      </c>
      <c r="AN65" s="33"/>
      <c r="AO65" s="33">
        <v>230000</v>
      </c>
      <c r="AP65" s="67">
        <f t="shared" si="31"/>
        <v>230000</v>
      </c>
      <c r="AQ65" s="34">
        <f t="shared" si="32"/>
        <v>100</v>
      </c>
      <c r="AR65" s="67">
        <f t="shared" si="33"/>
        <v>230000</v>
      </c>
      <c r="AS65" s="34">
        <f t="shared" si="34"/>
        <v>100</v>
      </c>
      <c r="AT65" s="28">
        <f t="shared" si="35"/>
      </c>
      <c r="AU65" s="28">
        <f t="shared" si="36"/>
      </c>
      <c r="AV65" s="28">
        <f t="shared" si="37"/>
      </c>
      <c r="AW65" s="24">
        <f t="shared" si="38"/>
      </c>
      <c r="AX65" s="24">
        <f t="shared" si="39"/>
      </c>
      <c r="AY65" s="24" t="str">
        <f t="shared" si="40"/>
        <v>New</v>
      </c>
      <c r="AZ65" s="156">
        <f t="shared" si="41"/>
        <v>52272</v>
      </c>
      <c r="BA65" s="35">
        <f t="shared" si="42"/>
        <v>0.2272695652173913</v>
      </c>
      <c r="BB65" s="35">
        <f t="shared" si="43"/>
        <v>29.999582608695654</v>
      </c>
      <c r="BC65" s="36">
        <f t="shared" si="44"/>
        <v>40.86306782608696</v>
      </c>
      <c r="BD65" s="36">
        <f t="shared" si="45"/>
        <v>70.86265043478261</v>
      </c>
      <c r="BE65" s="36" t="str">
        <f t="shared" si="46"/>
        <v>yes</v>
      </c>
      <c r="BF65" s="37">
        <f t="shared" si="47"/>
        <v>0.2272695652173913</v>
      </c>
      <c r="BG65" s="37">
        <f t="shared" si="48"/>
      </c>
      <c r="BH65" s="36">
        <f t="shared" si="49"/>
        <v>0</v>
      </c>
      <c r="BI65" s="38">
        <f t="shared" si="50"/>
        <v>0</v>
      </c>
      <c r="BJ65" s="1" t="str">
        <f t="shared" si="51"/>
        <v>yes</v>
      </c>
      <c r="BK65" s="37">
        <f>IF(BG65="","",IF(BG65=0,"",BB65-BG65))</f>
      </c>
      <c r="BL65" s="37">
        <f>IF(BH65="","",IF(BH65=0,"",BC65-BH65))</f>
      </c>
      <c r="BM65" s="7">
        <f t="shared" si="54"/>
      </c>
      <c r="BN65" s="7" t="e">
        <f t="shared" si="55"/>
        <v>#VALUE!</v>
      </c>
    </row>
    <row r="66" spans="2:66" ht="18" customHeight="1">
      <c r="B66" s="4" t="s">
        <v>12</v>
      </c>
      <c r="C66" s="4" t="s">
        <v>95</v>
      </c>
      <c r="D66" s="157" t="s">
        <v>74</v>
      </c>
      <c r="E66" s="158" t="s">
        <v>75</v>
      </c>
      <c r="F66" s="79">
        <f t="shared" si="14"/>
        <v>52272</v>
      </c>
      <c r="G66" s="80">
        <f t="shared" si="15"/>
        <v>40</v>
      </c>
      <c r="H66" s="149">
        <f t="shared" si="16"/>
        <v>4</v>
      </c>
      <c r="I66" s="150">
        <f t="shared" si="17"/>
        <v>67.47633391304348</v>
      </c>
      <c r="J66" s="83">
        <f t="shared" si="18"/>
        <v>65.63545043478261</v>
      </c>
      <c r="K66" s="84">
        <f t="shared" si="19"/>
        <v>66.0899895652174</v>
      </c>
      <c r="L66" s="151">
        <f t="shared" si="20"/>
        <v>24.772382608695654</v>
      </c>
      <c r="M66" s="152">
        <f t="shared" si="21"/>
        <v>25.226921739130436</v>
      </c>
      <c r="N66" s="188">
        <f t="shared" si="22"/>
        <v>0.0183486238532109</v>
      </c>
      <c r="O66" s="153">
        <f t="shared" si="23"/>
        <v>40.86306782608696</v>
      </c>
      <c r="P66" s="154">
        <f t="shared" si="24"/>
        <v>40.86306782608696</v>
      </c>
      <c r="Q66" s="176">
        <f t="shared" si="25"/>
        <v>0</v>
      </c>
      <c r="R66" s="100">
        <f t="shared" si="26"/>
        <v>0.45453913043478167</v>
      </c>
      <c r="S66" s="184">
        <f t="shared" si="27"/>
        <v>0.006925207756232672</v>
      </c>
      <c r="U66" s="208" t="s">
        <v>95</v>
      </c>
      <c r="V66" s="4" t="s">
        <v>12</v>
      </c>
      <c r="X66" s="155">
        <v>125</v>
      </c>
      <c r="Y66" s="155">
        <v>109</v>
      </c>
      <c r="Z66" s="155">
        <v>111</v>
      </c>
      <c r="AA66" s="155">
        <v>171.9</v>
      </c>
      <c r="AB66" s="155"/>
      <c r="AC66" s="155">
        <v>179.8</v>
      </c>
      <c r="AD66" s="155"/>
      <c r="AE66" s="155">
        <v>179.8</v>
      </c>
      <c r="AF66" s="155"/>
      <c r="AG66" s="32">
        <f t="shared" si="28"/>
        <v>296.9</v>
      </c>
      <c r="AH66" s="32">
        <f t="shared" si="29"/>
        <v>288.8</v>
      </c>
      <c r="AI66" s="32">
        <f t="shared" si="30"/>
        <v>290.8</v>
      </c>
      <c r="AJ66" s="33"/>
      <c r="AK66" s="33">
        <v>230000</v>
      </c>
      <c r="AL66" s="33"/>
      <c r="AM66" s="33">
        <v>230000</v>
      </c>
      <c r="AN66" s="33"/>
      <c r="AO66" s="33">
        <v>230000</v>
      </c>
      <c r="AP66" s="67">
        <f t="shared" si="31"/>
        <v>230000</v>
      </c>
      <c r="AQ66" s="34">
        <f t="shared" si="32"/>
        <v>100</v>
      </c>
      <c r="AR66" s="67">
        <f t="shared" si="33"/>
        <v>230000</v>
      </c>
      <c r="AS66" s="34">
        <f t="shared" si="34"/>
        <v>100</v>
      </c>
      <c r="AT66" s="28">
        <f t="shared" si="35"/>
        <v>109.00000000000001</v>
      </c>
      <c r="AU66" s="28">
        <f t="shared" si="36"/>
        <v>179.8</v>
      </c>
      <c r="AV66" s="28">
        <f t="shared" si="37"/>
        <v>288.8</v>
      </c>
      <c r="AW66" s="24">
        <f t="shared" si="38"/>
        <v>1.9999999999999858</v>
      </c>
      <c r="AX66" s="24">
        <f t="shared" si="39"/>
        <v>0</v>
      </c>
      <c r="AY66" s="24">
        <f t="shared" si="40"/>
        <v>2</v>
      </c>
      <c r="AZ66" s="156">
        <f t="shared" si="41"/>
        <v>52272</v>
      </c>
      <c r="BA66" s="35">
        <f t="shared" si="42"/>
        <v>0.2272695652173913</v>
      </c>
      <c r="BB66" s="35">
        <f t="shared" si="43"/>
        <v>25.226921739130436</v>
      </c>
      <c r="BC66" s="36">
        <f t="shared" si="44"/>
        <v>40.86306782608696</v>
      </c>
      <c r="BD66" s="36">
        <f t="shared" si="45"/>
        <v>66.0899895652174</v>
      </c>
      <c r="BE66" s="36" t="str">
        <f t="shared" si="46"/>
        <v>yes</v>
      </c>
      <c r="BF66" s="37">
        <f t="shared" si="47"/>
        <v>0.2272695652173913</v>
      </c>
      <c r="BG66" s="37">
        <f t="shared" si="48"/>
        <v>24.772382608695654</v>
      </c>
      <c r="BH66" s="36">
        <f t="shared" si="49"/>
        <v>40.86306782608696</v>
      </c>
      <c r="BI66" s="38">
        <f t="shared" si="50"/>
        <v>65.63545043478261</v>
      </c>
      <c r="BJ66" s="1" t="str">
        <f t="shared" si="51"/>
        <v>yes</v>
      </c>
      <c r="BK66" s="37">
        <f aca="true" t="shared" si="57" ref="BK66:BL70">IF(BG66="","",IF(BG66=0,"",BB66-BG66))</f>
        <v>0.45453913043478167</v>
      </c>
      <c r="BL66" s="37">
        <f t="shared" si="57"/>
        <v>0</v>
      </c>
      <c r="BM66" s="7">
        <f t="shared" si="54"/>
        <v>0.45453913043478167</v>
      </c>
      <c r="BN66" s="7">
        <f t="shared" si="55"/>
        <v>0</v>
      </c>
    </row>
    <row r="67" spans="2:66" ht="18" customHeight="1">
      <c r="B67" s="4" t="s">
        <v>12</v>
      </c>
      <c r="C67" s="4" t="s">
        <v>140</v>
      </c>
      <c r="D67" s="157" t="s">
        <v>74</v>
      </c>
      <c r="E67" s="158" t="s">
        <v>138</v>
      </c>
      <c r="F67" s="79">
        <f t="shared" si="14"/>
        <v>52272</v>
      </c>
      <c r="G67" s="80">
        <f t="shared" si="15"/>
        <v>40</v>
      </c>
      <c r="H67" s="149">
        <f t="shared" si="16"/>
        <v>4</v>
      </c>
      <c r="I67" s="150">
        <f t="shared" si="17"/>
        <v>58.36282434782609</v>
      </c>
      <c r="J67" s="83">
        <f t="shared" si="18"/>
        <v>61.77186782608696</v>
      </c>
      <c r="K67" s="84">
        <f t="shared" si="19"/>
        <v>62.22640695652174</v>
      </c>
      <c r="L67" s="151">
        <f t="shared" si="20"/>
        <v>29.545043478260872</v>
      </c>
      <c r="M67" s="152">
        <f t="shared" si="21"/>
        <v>29.999582608695654</v>
      </c>
      <c r="N67" s="188">
        <f t="shared" si="22"/>
        <v>0.01538461538461533</v>
      </c>
      <c r="O67" s="153">
        <f t="shared" si="23"/>
        <v>32.22682434782609</v>
      </c>
      <c r="P67" s="154">
        <f t="shared" si="24"/>
        <v>32.22682434782609</v>
      </c>
      <c r="Q67" s="176">
        <f t="shared" si="25"/>
        <v>0</v>
      </c>
      <c r="R67" s="100">
        <f t="shared" si="26"/>
        <v>0.45453913043478167</v>
      </c>
      <c r="S67" s="184">
        <f t="shared" si="27"/>
        <v>0.007358351729212641</v>
      </c>
      <c r="U67" s="208" t="s">
        <v>140</v>
      </c>
      <c r="V67" s="4" t="s">
        <v>12</v>
      </c>
      <c r="X67" s="155">
        <v>125</v>
      </c>
      <c r="Y67" s="155">
        <v>130</v>
      </c>
      <c r="Z67" s="155">
        <v>132</v>
      </c>
      <c r="AA67" s="155">
        <v>131.8</v>
      </c>
      <c r="AB67" s="155"/>
      <c r="AC67" s="155">
        <v>141.8</v>
      </c>
      <c r="AD67" s="155"/>
      <c r="AE67" s="155">
        <v>141.8</v>
      </c>
      <c r="AF67" s="155"/>
      <c r="AG67" s="32">
        <f t="shared" si="28"/>
        <v>256.8</v>
      </c>
      <c r="AH67" s="32">
        <f t="shared" si="29"/>
        <v>271.8</v>
      </c>
      <c r="AI67" s="32">
        <f t="shared" si="30"/>
        <v>273.8</v>
      </c>
      <c r="AJ67" s="33"/>
      <c r="AK67" s="33">
        <v>230000</v>
      </c>
      <c r="AL67" s="33"/>
      <c r="AM67" s="33">
        <v>230000</v>
      </c>
      <c r="AN67" s="33"/>
      <c r="AO67" s="33">
        <v>230000</v>
      </c>
      <c r="AP67" s="67">
        <f t="shared" si="31"/>
        <v>230000</v>
      </c>
      <c r="AQ67" s="34">
        <f t="shared" si="32"/>
        <v>100</v>
      </c>
      <c r="AR67" s="67">
        <f t="shared" si="33"/>
        <v>230000</v>
      </c>
      <c r="AS67" s="34">
        <f t="shared" si="34"/>
        <v>100</v>
      </c>
      <c r="AT67" s="28">
        <f t="shared" si="35"/>
        <v>130</v>
      </c>
      <c r="AU67" s="28">
        <f t="shared" si="36"/>
        <v>141.8</v>
      </c>
      <c r="AV67" s="28">
        <f t="shared" si="37"/>
        <v>271.8</v>
      </c>
      <c r="AW67" s="24">
        <f t="shared" si="38"/>
        <v>2</v>
      </c>
      <c r="AX67" s="24">
        <f t="shared" si="39"/>
        <v>0</v>
      </c>
      <c r="AY67" s="24">
        <f t="shared" si="40"/>
        <v>2</v>
      </c>
      <c r="AZ67" s="156">
        <f t="shared" si="41"/>
        <v>52272</v>
      </c>
      <c r="BA67" s="35">
        <f t="shared" si="42"/>
        <v>0.2272695652173913</v>
      </c>
      <c r="BB67" s="35">
        <f t="shared" si="43"/>
        <v>29.999582608695654</v>
      </c>
      <c r="BC67" s="36">
        <f t="shared" si="44"/>
        <v>32.22682434782609</v>
      </c>
      <c r="BD67" s="36">
        <f t="shared" si="45"/>
        <v>62.22640695652174</v>
      </c>
      <c r="BE67" s="36" t="str">
        <f t="shared" si="46"/>
        <v>yes</v>
      </c>
      <c r="BF67" s="37">
        <f t="shared" si="47"/>
        <v>0.2272695652173913</v>
      </c>
      <c r="BG67" s="37">
        <f t="shared" si="48"/>
        <v>29.545043478260872</v>
      </c>
      <c r="BH67" s="36">
        <f t="shared" si="49"/>
        <v>32.22682434782609</v>
      </c>
      <c r="BI67" s="38">
        <f t="shared" si="50"/>
        <v>61.77186782608696</v>
      </c>
      <c r="BJ67" s="1" t="str">
        <f t="shared" si="51"/>
        <v>yes</v>
      </c>
      <c r="BK67" s="37">
        <f t="shared" si="57"/>
        <v>0.45453913043478167</v>
      </c>
      <c r="BL67" s="37">
        <f t="shared" si="57"/>
        <v>0</v>
      </c>
      <c r="BM67" s="7">
        <f t="shared" si="54"/>
        <v>0.45453913043478167</v>
      </c>
      <c r="BN67" s="7">
        <f t="shared" si="55"/>
        <v>0</v>
      </c>
    </row>
    <row r="68" spans="2:66" ht="18" customHeight="1">
      <c r="B68" s="4" t="s">
        <v>12</v>
      </c>
      <c r="C68" s="4" t="s">
        <v>95</v>
      </c>
      <c r="D68" s="157" t="s">
        <v>74</v>
      </c>
      <c r="E68" s="158" t="s">
        <v>139</v>
      </c>
      <c r="F68" s="79">
        <f t="shared" si="14"/>
        <v>52272</v>
      </c>
      <c r="G68" s="80">
        <f t="shared" si="15"/>
        <v>40</v>
      </c>
      <c r="H68" s="149">
        <f t="shared" si="16"/>
        <v>4</v>
      </c>
      <c r="I68" s="150">
        <f t="shared" si="17"/>
        <v>67.47633391304348</v>
      </c>
      <c r="J68" s="83">
        <f t="shared" si="18"/>
        <v>70.40811130434784</v>
      </c>
      <c r="K68" s="84">
        <f t="shared" si="19"/>
        <v>70.86265043478261</v>
      </c>
      <c r="L68" s="151">
        <f t="shared" si="20"/>
        <v>29.545043478260872</v>
      </c>
      <c r="M68" s="152">
        <f t="shared" si="21"/>
        <v>29.999582608695654</v>
      </c>
      <c r="N68" s="188">
        <f t="shared" si="22"/>
        <v>0.01538461538461533</v>
      </c>
      <c r="O68" s="153">
        <f t="shared" si="23"/>
        <v>40.86306782608696</v>
      </c>
      <c r="P68" s="154">
        <f t="shared" si="24"/>
        <v>40.86306782608696</v>
      </c>
      <c r="Q68" s="176">
        <f t="shared" si="25"/>
        <v>0</v>
      </c>
      <c r="R68" s="100">
        <f t="shared" si="26"/>
        <v>0.45453913043476746</v>
      </c>
      <c r="S68" s="184">
        <f t="shared" si="27"/>
        <v>0.0064557779212392925</v>
      </c>
      <c r="U68" s="208" t="s">
        <v>95</v>
      </c>
      <c r="V68" s="4" t="s">
        <v>12</v>
      </c>
      <c r="X68" s="155">
        <v>125</v>
      </c>
      <c r="Y68" s="155">
        <v>130</v>
      </c>
      <c r="Z68" s="155">
        <v>132</v>
      </c>
      <c r="AA68" s="206">
        <v>171.9</v>
      </c>
      <c r="AB68" s="155"/>
      <c r="AC68" s="206">
        <v>179.8</v>
      </c>
      <c r="AD68" s="155"/>
      <c r="AE68" s="206">
        <v>179.8</v>
      </c>
      <c r="AF68" s="155"/>
      <c r="AG68" s="32">
        <f t="shared" si="28"/>
        <v>296.9</v>
      </c>
      <c r="AH68" s="32">
        <f t="shared" si="29"/>
        <v>309.8</v>
      </c>
      <c r="AI68" s="32">
        <f t="shared" si="30"/>
        <v>311.8</v>
      </c>
      <c r="AJ68" s="33"/>
      <c r="AK68" s="33">
        <v>230000</v>
      </c>
      <c r="AL68" s="33"/>
      <c r="AM68" s="33">
        <v>230000</v>
      </c>
      <c r="AN68" s="33"/>
      <c r="AO68" s="33">
        <v>230000</v>
      </c>
      <c r="AP68" s="67">
        <f t="shared" si="31"/>
        <v>230000</v>
      </c>
      <c r="AQ68" s="34">
        <f t="shared" si="32"/>
        <v>100</v>
      </c>
      <c r="AR68" s="67">
        <f t="shared" si="33"/>
        <v>230000</v>
      </c>
      <c r="AS68" s="34">
        <f t="shared" si="34"/>
        <v>100</v>
      </c>
      <c r="AT68" s="28">
        <f t="shared" si="35"/>
        <v>130</v>
      </c>
      <c r="AU68" s="28">
        <f t="shared" si="36"/>
        <v>179.8</v>
      </c>
      <c r="AV68" s="28">
        <f t="shared" si="37"/>
        <v>309.8</v>
      </c>
      <c r="AW68" s="24">
        <f t="shared" si="38"/>
        <v>2</v>
      </c>
      <c r="AX68" s="24">
        <f t="shared" si="39"/>
        <v>0</v>
      </c>
      <c r="AY68" s="24">
        <f t="shared" si="40"/>
        <v>2</v>
      </c>
      <c r="AZ68" s="156">
        <f t="shared" si="41"/>
        <v>52272</v>
      </c>
      <c r="BA68" s="35">
        <f t="shared" si="42"/>
        <v>0.2272695652173913</v>
      </c>
      <c r="BB68" s="35">
        <f t="shared" si="43"/>
        <v>29.999582608695654</v>
      </c>
      <c r="BC68" s="36">
        <f t="shared" si="44"/>
        <v>40.86306782608696</v>
      </c>
      <c r="BD68" s="36">
        <f t="shared" si="45"/>
        <v>70.86265043478261</v>
      </c>
      <c r="BE68" s="36" t="str">
        <f t="shared" si="46"/>
        <v>yes</v>
      </c>
      <c r="BF68" s="37">
        <f t="shared" si="47"/>
        <v>0.2272695652173913</v>
      </c>
      <c r="BG68" s="37">
        <f t="shared" si="48"/>
        <v>29.545043478260872</v>
      </c>
      <c r="BH68" s="36">
        <f t="shared" si="49"/>
        <v>40.86306782608696</v>
      </c>
      <c r="BI68" s="38">
        <f t="shared" si="50"/>
        <v>70.40811130434784</v>
      </c>
      <c r="BJ68" s="1" t="str">
        <f t="shared" si="51"/>
        <v>yes</v>
      </c>
      <c r="BK68" s="37">
        <f t="shared" si="57"/>
        <v>0.45453913043478167</v>
      </c>
      <c r="BL68" s="37">
        <f t="shared" si="57"/>
        <v>0</v>
      </c>
      <c r="BM68" s="7">
        <f t="shared" si="54"/>
        <v>0.45453913043476746</v>
      </c>
      <c r="BN68" s="7">
        <f t="shared" si="55"/>
        <v>0</v>
      </c>
    </row>
    <row r="69" spans="2:66" ht="18" customHeight="1">
      <c r="B69" s="4" t="s">
        <v>12</v>
      </c>
      <c r="C69" s="4" t="s">
        <v>95</v>
      </c>
      <c r="D69" s="157" t="s">
        <v>74</v>
      </c>
      <c r="E69" s="158" t="s">
        <v>76</v>
      </c>
      <c r="F69" s="79">
        <f t="shared" si="14"/>
        <v>52272</v>
      </c>
      <c r="G69" s="80">
        <f t="shared" si="15"/>
        <v>40</v>
      </c>
      <c r="H69" s="149">
        <f t="shared" si="16"/>
        <v>4</v>
      </c>
      <c r="I69" s="150">
        <f t="shared" si="17"/>
        <v>67.47633391304348</v>
      </c>
      <c r="J69" s="83">
        <f t="shared" si="18"/>
        <v>65.63545043478261</v>
      </c>
      <c r="K69" s="84">
        <f t="shared" si="19"/>
        <v>66.0899895652174</v>
      </c>
      <c r="L69" s="151">
        <f t="shared" si="20"/>
        <v>24.772382608695654</v>
      </c>
      <c r="M69" s="152">
        <f t="shared" si="21"/>
        <v>25.226921739130436</v>
      </c>
      <c r="N69" s="188">
        <f t="shared" si="22"/>
        <v>0.0183486238532109</v>
      </c>
      <c r="O69" s="153">
        <f t="shared" si="23"/>
        <v>40.86306782608696</v>
      </c>
      <c r="P69" s="154">
        <f t="shared" si="24"/>
        <v>40.86306782608696</v>
      </c>
      <c r="Q69" s="176">
        <f t="shared" si="25"/>
        <v>0</v>
      </c>
      <c r="R69" s="100">
        <f t="shared" si="26"/>
        <v>0.45453913043478167</v>
      </c>
      <c r="S69" s="184">
        <f t="shared" si="27"/>
        <v>0.006925207756232672</v>
      </c>
      <c r="U69" s="208" t="s">
        <v>95</v>
      </c>
      <c r="V69" s="4" t="s">
        <v>12</v>
      </c>
      <c r="X69" s="155">
        <v>125</v>
      </c>
      <c r="Y69" s="155">
        <v>109</v>
      </c>
      <c r="Z69" s="155">
        <v>111</v>
      </c>
      <c r="AA69" s="206">
        <v>171.9</v>
      </c>
      <c r="AB69" s="155"/>
      <c r="AC69" s="206">
        <v>179.8</v>
      </c>
      <c r="AD69" s="155"/>
      <c r="AE69" s="206">
        <v>179.8</v>
      </c>
      <c r="AF69" s="155"/>
      <c r="AG69" s="32">
        <f t="shared" si="28"/>
        <v>296.9</v>
      </c>
      <c r="AH69" s="32">
        <f t="shared" si="29"/>
        <v>288.8</v>
      </c>
      <c r="AI69" s="32">
        <f t="shared" si="30"/>
        <v>290.8</v>
      </c>
      <c r="AJ69" s="33"/>
      <c r="AK69" s="33">
        <v>230000</v>
      </c>
      <c r="AL69" s="33"/>
      <c r="AM69" s="33">
        <v>230000</v>
      </c>
      <c r="AN69" s="33"/>
      <c r="AO69" s="33">
        <v>230000</v>
      </c>
      <c r="AP69" s="67">
        <f t="shared" si="31"/>
        <v>230000</v>
      </c>
      <c r="AQ69" s="34">
        <f t="shared" si="32"/>
        <v>100</v>
      </c>
      <c r="AR69" s="67">
        <f t="shared" si="33"/>
        <v>230000</v>
      </c>
      <c r="AS69" s="34">
        <f t="shared" si="34"/>
        <v>100</v>
      </c>
      <c r="AT69" s="28">
        <f t="shared" si="35"/>
        <v>109.00000000000001</v>
      </c>
      <c r="AU69" s="28">
        <f t="shared" si="36"/>
        <v>179.8</v>
      </c>
      <c r="AV69" s="28">
        <f t="shared" si="37"/>
        <v>288.8</v>
      </c>
      <c r="AW69" s="24">
        <f t="shared" si="38"/>
        <v>1.9999999999999858</v>
      </c>
      <c r="AX69" s="24">
        <f t="shared" si="39"/>
        <v>0</v>
      </c>
      <c r="AY69" s="24">
        <f t="shared" si="40"/>
        <v>2</v>
      </c>
      <c r="AZ69" s="156">
        <f t="shared" si="41"/>
        <v>52272</v>
      </c>
      <c r="BA69" s="35">
        <f t="shared" si="42"/>
        <v>0.2272695652173913</v>
      </c>
      <c r="BB69" s="35">
        <f t="shared" si="43"/>
        <v>25.226921739130436</v>
      </c>
      <c r="BC69" s="36">
        <f t="shared" si="44"/>
        <v>40.86306782608696</v>
      </c>
      <c r="BD69" s="36">
        <f t="shared" si="45"/>
        <v>66.0899895652174</v>
      </c>
      <c r="BE69" s="36" t="str">
        <f t="shared" si="46"/>
        <v>yes</v>
      </c>
      <c r="BF69" s="37">
        <f t="shared" si="47"/>
        <v>0.2272695652173913</v>
      </c>
      <c r="BG69" s="37">
        <f t="shared" si="48"/>
        <v>24.772382608695654</v>
      </c>
      <c r="BH69" s="36">
        <f t="shared" si="49"/>
        <v>40.86306782608696</v>
      </c>
      <c r="BI69" s="38">
        <f t="shared" si="50"/>
        <v>65.63545043478261</v>
      </c>
      <c r="BJ69" s="1" t="str">
        <f t="shared" si="51"/>
        <v>yes</v>
      </c>
      <c r="BK69" s="37">
        <f t="shared" si="57"/>
        <v>0.45453913043478167</v>
      </c>
      <c r="BL69" s="37">
        <f t="shared" si="57"/>
        <v>0</v>
      </c>
      <c r="BM69" s="7">
        <f t="shared" si="54"/>
        <v>0.45453913043478167</v>
      </c>
      <c r="BN69" s="7">
        <f t="shared" si="55"/>
        <v>0</v>
      </c>
    </row>
    <row r="70" spans="2:66" ht="18" customHeight="1">
      <c r="B70" s="4" t="s">
        <v>12</v>
      </c>
      <c r="C70" s="4" t="s">
        <v>95</v>
      </c>
      <c r="D70" s="157" t="s">
        <v>74</v>
      </c>
      <c r="E70" s="158" t="s">
        <v>77</v>
      </c>
      <c r="F70" s="79">
        <f t="shared" si="14"/>
        <v>52272</v>
      </c>
      <c r="G70" s="80">
        <f t="shared" si="15"/>
        <v>40</v>
      </c>
      <c r="H70" s="149">
        <f t="shared" si="16"/>
        <v>4</v>
      </c>
      <c r="I70" s="150">
        <f t="shared" si="17"/>
        <v>67.47633391304348</v>
      </c>
      <c r="J70" s="83">
        <f t="shared" si="18"/>
        <v>65.63545043478261</v>
      </c>
      <c r="K70" s="84">
        <f t="shared" si="19"/>
        <v>66.0899895652174</v>
      </c>
      <c r="L70" s="151">
        <f t="shared" si="20"/>
        <v>24.772382608695654</v>
      </c>
      <c r="M70" s="152">
        <f t="shared" si="21"/>
        <v>25.226921739130436</v>
      </c>
      <c r="N70" s="188">
        <f t="shared" si="22"/>
        <v>0.0183486238532109</v>
      </c>
      <c r="O70" s="153">
        <f t="shared" si="23"/>
        <v>40.86306782608696</v>
      </c>
      <c r="P70" s="154">
        <f t="shared" si="24"/>
        <v>40.86306782608696</v>
      </c>
      <c r="Q70" s="176">
        <f t="shared" si="25"/>
        <v>0</v>
      </c>
      <c r="R70" s="100">
        <f t="shared" si="26"/>
        <v>0.45453913043478167</v>
      </c>
      <c r="S70" s="184">
        <f t="shared" si="27"/>
        <v>0.006925207756232672</v>
      </c>
      <c r="U70" s="208" t="s">
        <v>95</v>
      </c>
      <c r="V70" s="4" t="s">
        <v>12</v>
      </c>
      <c r="X70" s="155">
        <v>125</v>
      </c>
      <c r="Y70" s="155">
        <v>109</v>
      </c>
      <c r="Z70" s="155">
        <v>111</v>
      </c>
      <c r="AA70" s="206">
        <v>171.9</v>
      </c>
      <c r="AB70" s="155"/>
      <c r="AC70" s="206">
        <v>179.8</v>
      </c>
      <c r="AD70" s="155"/>
      <c r="AE70" s="206">
        <v>179.8</v>
      </c>
      <c r="AF70" s="155"/>
      <c r="AG70" s="32">
        <f t="shared" si="28"/>
        <v>296.9</v>
      </c>
      <c r="AH70" s="32">
        <f t="shared" si="29"/>
        <v>288.8</v>
      </c>
      <c r="AI70" s="32">
        <f t="shared" si="30"/>
        <v>290.8</v>
      </c>
      <c r="AJ70" s="33"/>
      <c r="AK70" s="33">
        <v>230000</v>
      </c>
      <c r="AL70" s="33"/>
      <c r="AM70" s="33">
        <v>230000</v>
      </c>
      <c r="AN70" s="33"/>
      <c r="AO70" s="33">
        <v>230000</v>
      </c>
      <c r="AP70" s="67">
        <f t="shared" si="31"/>
        <v>230000</v>
      </c>
      <c r="AQ70" s="34">
        <f t="shared" si="32"/>
        <v>100</v>
      </c>
      <c r="AR70" s="67">
        <f t="shared" si="33"/>
        <v>230000</v>
      </c>
      <c r="AS70" s="34">
        <f t="shared" si="34"/>
        <v>100</v>
      </c>
      <c r="AT70" s="28">
        <f t="shared" si="35"/>
        <v>109.00000000000001</v>
      </c>
      <c r="AU70" s="28">
        <f t="shared" si="36"/>
        <v>179.8</v>
      </c>
      <c r="AV70" s="28">
        <f t="shared" si="37"/>
        <v>288.8</v>
      </c>
      <c r="AW70" s="24">
        <f t="shared" si="38"/>
        <v>1.9999999999999858</v>
      </c>
      <c r="AX70" s="24">
        <f t="shared" si="39"/>
        <v>0</v>
      </c>
      <c r="AY70" s="24">
        <f t="shared" si="40"/>
        <v>2</v>
      </c>
      <c r="AZ70" s="156">
        <f t="shared" si="41"/>
        <v>52272</v>
      </c>
      <c r="BA70" s="35">
        <f t="shared" si="42"/>
        <v>0.2272695652173913</v>
      </c>
      <c r="BB70" s="35">
        <f t="shared" si="43"/>
        <v>25.226921739130436</v>
      </c>
      <c r="BC70" s="36">
        <f t="shared" si="44"/>
        <v>40.86306782608696</v>
      </c>
      <c r="BD70" s="36">
        <f t="shared" si="45"/>
        <v>66.0899895652174</v>
      </c>
      <c r="BE70" s="36" t="str">
        <f t="shared" si="46"/>
        <v>yes</v>
      </c>
      <c r="BF70" s="37">
        <f t="shared" si="47"/>
        <v>0.2272695652173913</v>
      </c>
      <c r="BG70" s="37">
        <f t="shared" si="48"/>
        <v>24.772382608695654</v>
      </c>
      <c r="BH70" s="36">
        <f t="shared" si="49"/>
        <v>40.86306782608696</v>
      </c>
      <c r="BI70" s="38">
        <f t="shared" si="50"/>
        <v>65.63545043478261</v>
      </c>
      <c r="BJ70" s="1" t="str">
        <f t="shared" si="51"/>
        <v>yes</v>
      </c>
      <c r="BK70" s="37">
        <f t="shared" si="57"/>
        <v>0.45453913043478167</v>
      </c>
      <c r="BL70" s="37">
        <f t="shared" si="57"/>
        <v>0</v>
      </c>
      <c r="BM70" s="7">
        <f t="shared" si="54"/>
        <v>0.45453913043478167</v>
      </c>
      <c r="BN70" s="7">
        <f t="shared" si="55"/>
        <v>0</v>
      </c>
    </row>
    <row r="71" spans="2:66" ht="18" customHeight="1">
      <c r="B71" s="4" t="s">
        <v>12</v>
      </c>
      <c r="C71" s="4" t="s">
        <v>95</v>
      </c>
      <c r="D71" s="157" t="s">
        <v>80</v>
      </c>
      <c r="E71" s="158" t="s">
        <v>81</v>
      </c>
      <c r="F71" s="79">
        <f aca="true" t="shared" si="58" ref="F71:F99">IF($J$11&gt;0,$J$11,$M$11)</f>
        <v>52272</v>
      </c>
      <c r="G71" s="80">
        <f aca="true" t="shared" si="59" ref="G71:G99">$K$11</f>
        <v>40</v>
      </c>
      <c r="H71" s="149">
        <f aca="true" t="shared" si="60" ref="H71:H99">$L$11</f>
        <v>4</v>
      </c>
      <c r="I71" s="150">
        <f aca="true" t="shared" si="61" ref="I71:I99">IF(AK71="","",IF($F71&gt;0,($F71/$AK71)*AG71,IF($G71&gt;0,(((43560/($G71/12))*$H71)/$AK71)*AG71,0)))</f>
        <v>66.7945252173913</v>
      </c>
      <c r="J71" s="83">
        <f aca="true" t="shared" si="62" ref="J71:J99">BI71</f>
        <v>71.54445913043479</v>
      </c>
      <c r="K71" s="84">
        <f aca="true" t="shared" si="63" ref="K71:K99">BD71</f>
        <v>72.45353739130435</v>
      </c>
      <c r="L71" s="151">
        <f aca="true" t="shared" si="64" ref="L71:L99">BG71</f>
        <v>30.68139130434783</v>
      </c>
      <c r="M71" s="152">
        <f aca="true" t="shared" si="65" ref="M71:M99">BB71</f>
        <v>31.590469565217393</v>
      </c>
      <c r="N71" s="188">
        <f aca="true" t="shared" si="66" ref="N71:N99">IF(R71="New","New",(M71/L71)-1)</f>
        <v>0.029629629629629672</v>
      </c>
      <c r="O71" s="153">
        <f aca="true" t="shared" si="67" ref="O71:O99">IF(AW71="","",BH71)</f>
        <v>40.86306782608696</v>
      </c>
      <c r="P71" s="154">
        <f aca="true" t="shared" si="68" ref="P71:P99">IF(BC71="","",BC71)</f>
        <v>40.86306782608696</v>
      </c>
      <c r="Q71" s="176">
        <f aca="true" t="shared" si="69" ref="Q71:Q99">IF(R71="New","New",IF(AX71="","",(P71/O71)-1))</f>
        <v>0</v>
      </c>
      <c r="R71" s="100">
        <f aca="true" t="shared" si="70" ref="R71:R99">IF(J71="","New",IF(J71=0,"New",K71-J71))</f>
        <v>0.9090782608695633</v>
      </c>
      <c r="S71" s="184">
        <f aca="true" t="shared" si="71" ref="S71:S99">IF(R71="New","",R71/J71)</f>
        <v>0.0127064803049555</v>
      </c>
      <c r="U71" s="208" t="s">
        <v>95</v>
      </c>
      <c r="V71" s="4" t="s">
        <v>12</v>
      </c>
      <c r="X71" s="155">
        <v>122</v>
      </c>
      <c r="Y71" s="155">
        <v>135</v>
      </c>
      <c r="Z71" s="155">
        <v>139</v>
      </c>
      <c r="AA71" s="155">
        <v>171.9</v>
      </c>
      <c r="AB71" s="155"/>
      <c r="AC71" s="155">
        <v>179.8</v>
      </c>
      <c r="AD71" s="155"/>
      <c r="AE71" s="155">
        <v>179.8</v>
      </c>
      <c r="AF71" s="155"/>
      <c r="AG71" s="32">
        <f aca="true" t="shared" si="72" ref="AG71:AG99">X71+(AA71+AB71)</f>
        <v>293.9</v>
      </c>
      <c r="AH71" s="32">
        <f aca="true" t="shared" si="73" ref="AH71:AH99">Y71+(AC71+AD71)</f>
        <v>314.8</v>
      </c>
      <c r="AI71" s="32">
        <f aca="true" t="shared" si="74" ref="AI71:AI99">Z71+(AE71+AF71)</f>
        <v>318.8</v>
      </c>
      <c r="AJ71" s="33"/>
      <c r="AK71" s="33">
        <v>230000</v>
      </c>
      <c r="AL71" s="33"/>
      <c r="AM71" s="33">
        <v>230000</v>
      </c>
      <c r="AN71" s="33"/>
      <c r="AO71" s="33">
        <v>230000</v>
      </c>
      <c r="AP71" s="67">
        <f aca="true" t="shared" si="75" ref="AP71:AP99">AK71</f>
        <v>230000</v>
      </c>
      <c r="AQ71" s="34">
        <f aca="true" t="shared" si="76" ref="AQ71:AQ99">IF(AK71&gt;0,AM71/AK71*100,"Not Avail.")</f>
        <v>100</v>
      </c>
      <c r="AR71" s="67">
        <f aca="true" t="shared" si="77" ref="AR71:AR99">AM71</f>
        <v>230000</v>
      </c>
      <c r="AS71" s="34">
        <f aca="true" t="shared" si="78" ref="AS71:AS99">IF(AM71&gt;0,AO71/AM71*100,"Not Avail.")</f>
        <v>100</v>
      </c>
      <c r="AT71" s="28">
        <f aca="true" t="shared" si="79" ref="AT71:AT99">IF(Y71="","",Y71/AS71*100)</f>
        <v>135</v>
      </c>
      <c r="AU71" s="28">
        <f aca="true" t="shared" si="80" ref="AU71:AU99">IF(AC71="","",((AC71+AD71)/AS71*100))</f>
        <v>179.8</v>
      </c>
      <c r="AV71" s="28">
        <f aca="true" t="shared" si="81" ref="AV71:AV99">IF(AT71="","",SUM(AT71:AU71))</f>
        <v>314.8</v>
      </c>
      <c r="AW71" s="24">
        <f aca="true" t="shared" si="82" ref="AW71:AW99">IF(AT71="","",Z71-AT71)</f>
        <v>4</v>
      </c>
      <c r="AX71" s="24">
        <f aca="true" t="shared" si="83" ref="AX71:AX99">IF(AU71="","",(AE71+AF71)-AU71)</f>
        <v>0</v>
      </c>
      <c r="AY71" s="24">
        <f aca="true" t="shared" si="84" ref="AY71:AY99">IF(AH71&gt;0,AI71-AV71,"New")</f>
        <v>4</v>
      </c>
      <c r="AZ71" s="156">
        <f aca="true" t="shared" si="85" ref="AZ71:AZ99">F71</f>
        <v>52272</v>
      </c>
      <c r="BA71" s="35">
        <f aca="true" t="shared" si="86" ref="BA71:BA99">IF($F71&gt;0,($F71/$AO71),IF($G71&gt;0,(((43560/($G71/12))*$H71)/$AO71),0))</f>
        <v>0.2272695652173913</v>
      </c>
      <c r="BB71" s="35">
        <f aca="true" t="shared" si="87" ref="BB71:BB99">Z71/(1/BA71)</f>
        <v>31.590469565217393</v>
      </c>
      <c r="BC71" s="36">
        <f aca="true" t="shared" si="88" ref="BC71:BC99">((AE71+AF71)/(1/BA71))</f>
        <v>40.86306782608696</v>
      </c>
      <c r="BD71" s="36">
        <f aca="true" t="shared" si="89" ref="BD71:BD99">BB71+BC71</f>
        <v>72.45353739130435</v>
      </c>
      <c r="BE71" s="36" t="str">
        <f aca="true" t="shared" si="90" ref="BE71:BE99">IF(BD71=K71,"yes","no")</f>
        <v>yes</v>
      </c>
      <c r="BF71" s="37">
        <f aca="true" t="shared" si="91" ref="BF71:BF99">IF(AM71="","",IF($F71&gt;0,($F71/AM71),IF($G71&gt;0,((((43560/($G71/12))*$H71)/$AM71)),0)))</f>
        <v>0.2272695652173913</v>
      </c>
      <c r="BG71" s="37">
        <f aca="true" t="shared" si="92" ref="BG71:BG99">IF(Y71="","",Y71/(1/BF71))</f>
        <v>30.68139130434783</v>
      </c>
      <c r="BH71" s="36">
        <f aca="true" t="shared" si="93" ref="BH71:BH99">((AC71+AD71)/(1/BF71))</f>
        <v>40.86306782608696</v>
      </c>
      <c r="BI71" s="38">
        <f aca="true" t="shared" si="94" ref="BI71:BI99">SUM(BG71:BH71)</f>
        <v>71.54445913043479</v>
      </c>
      <c r="BJ71" s="1" t="str">
        <f aca="true" t="shared" si="95" ref="BJ71:BJ99">IF(J71=BI71,"yes","no")</f>
        <v>yes</v>
      </c>
      <c r="BK71" s="37">
        <f aca="true" t="shared" si="96" ref="BK71:BK99">IF(BG71="","",IF(BG71=0,"",BB71-BG71))</f>
        <v>0.9090782608695633</v>
      </c>
      <c r="BL71" s="37">
        <f aca="true" t="shared" si="97" ref="BL71:BL99">IF(BH71="","",IF(BH71=0,"",BC71-BH71))</f>
        <v>0</v>
      </c>
      <c r="BM71" s="7">
        <f aca="true" t="shared" si="98" ref="BM71:BM99">IF(BK71="","",BD71-BI71)</f>
        <v>0.9090782608695633</v>
      </c>
      <c r="BN71" s="7">
        <f aca="true" t="shared" si="99" ref="BN71:BN99">R71-BM71</f>
        <v>0</v>
      </c>
    </row>
    <row r="72" spans="2:66" ht="18" customHeight="1">
      <c r="B72" s="4" t="s">
        <v>12</v>
      </c>
      <c r="C72" s="4" t="s">
        <v>97</v>
      </c>
      <c r="D72" s="157" t="s">
        <v>80</v>
      </c>
      <c r="E72" s="158" t="s">
        <v>23</v>
      </c>
      <c r="F72" s="79">
        <f t="shared" si="58"/>
        <v>52272</v>
      </c>
      <c r="G72" s="80">
        <f t="shared" si="59"/>
        <v>40</v>
      </c>
      <c r="H72" s="149">
        <f t="shared" si="60"/>
        <v>4</v>
      </c>
      <c r="I72" s="150">
        <f t="shared" si="61"/>
        <v>58.59009391304348</v>
      </c>
      <c r="J72" s="83">
        <f t="shared" si="62"/>
        <v>62.90821565217392</v>
      </c>
      <c r="K72" s="84">
        <f t="shared" si="63"/>
        <v>63.817293913043486</v>
      </c>
      <c r="L72" s="151">
        <f t="shared" si="64"/>
        <v>30.68139130434783</v>
      </c>
      <c r="M72" s="152">
        <f t="shared" si="65"/>
        <v>31.590469565217393</v>
      </c>
      <c r="N72" s="188">
        <f t="shared" si="66"/>
        <v>0.029629629629629672</v>
      </c>
      <c r="O72" s="153">
        <f t="shared" si="67"/>
        <v>32.22682434782609</v>
      </c>
      <c r="P72" s="154">
        <f t="shared" si="68"/>
        <v>32.22682434782609</v>
      </c>
      <c r="Q72" s="176">
        <f t="shared" si="69"/>
        <v>0</v>
      </c>
      <c r="R72" s="100">
        <f t="shared" si="70"/>
        <v>0.9090782608695633</v>
      </c>
      <c r="S72" s="184">
        <f t="shared" si="71"/>
        <v>0.01445086705202309</v>
      </c>
      <c r="U72" s="208" t="s">
        <v>97</v>
      </c>
      <c r="V72" s="4" t="s">
        <v>12</v>
      </c>
      <c r="X72" s="155">
        <v>126</v>
      </c>
      <c r="Y72" s="155">
        <v>135</v>
      </c>
      <c r="Z72" s="155">
        <v>139</v>
      </c>
      <c r="AA72" s="155">
        <v>131.8</v>
      </c>
      <c r="AB72" s="155"/>
      <c r="AC72" s="155">
        <v>141.8</v>
      </c>
      <c r="AD72" s="155"/>
      <c r="AE72" s="155">
        <v>141.8</v>
      </c>
      <c r="AF72" s="155"/>
      <c r="AG72" s="32">
        <f t="shared" si="72"/>
        <v>257.8</v>
      </c>
      <c r="AH72" s="32">
        <f t="shared" si="73"/>
        <v>276.8</v>
      </c>
      <c r="AI72" s="32">
        <f t="shared" si="74"/>
        <v>280.8</v>
      </c>
      <c r="AJ72" s="33"/>
      <c r="AK72" s="33">
        <v>230000</v>
      </c>
      <c r="AL72" s="33"/>
      <c r="AM72" s="33">
        <v>230000</v>
      </c>
      <c r="AN72" s="33"/>
      <c r="AO72" s="33">
        <v>230000</v>
      </c>
      <c r="AP72" s="67">
        <f t="shared" si="75"/>
        <v>230000</v>
      </c>
      <c r="AQ72" s="34">
        <f t="shared" si="76"/>
        <v>100</v>
      </c>
      <c r="AR72" s="67">
        <f t="shared" si="77"/>
        <v>230000</v>
      </c>
      <c r="AS72" s="34">
        <f t="shared" si="78"/>
        <v>100</v>
      </c>
      <c r="AT72" s="28">
        <f t="shared" si="79"/>
        <v>135</v>
      </c>
      <c r="AU72" s="28">
        <f t="shared" si="80"/>
        <v>141.8</v>
      </c>
      <c r="AV72" s="28">
        <f t="shared" si="81"/>
        <v>276.8</v>
      </c>
      <c r="AW72" s="24">
        <f t="shared" si="82"/>
        <v>4</v>
      </c>
      <c r="AX72" s="24">
        <f t="shared" si="83"/>
        <v>0</v>
      </c>
      <c r="AY72" s="24">
        <f t="shared" si="84"/>
        <v>4</v>
      </c>
      <c r="AZ72" s="156">
        <f t="shared" si="85"/>
        <v>52272</v>
      </c>
      <c r="BA72" s="35">
        <f t="shared" si="86"/>
        <v>0.2272695652173913</v>
      </c>
      <c r="BB72" s="35">
        <f t="shared" si="87"/>
        <v>31.590469565217393</v>
      </c>
      <c r="BC72" s="36">
        <f t="shared" si="88"/>
        <v>32.22682434782609</v>
      </c>
      <c r="BD72" s="36">
        <f t="shared" si="89"/>
        <v>63.817293913043486</v>
      </c>
      <c r="BE72" s="36" t="str">
        <f t="shared" si="90"/>
        <v>yes</v>
      </c>
      <c r="BF72" s="37">
        <f t="shared" si="91"/>
        <v>0.2272695652173913</v>
      </c>
      <c r="BG72" s="37">
        <f t="shared" si="92"/>
        <v>30.68139130434783</v>
      </c>
      <c r="BH72" s="36">
        <f t="shared" si="93"/>
        <v>32.22682434782609</v>
      </c>
      <c r="BI72" s="38">
        <f t="shared" si="94"/>
        <v>62.90821565217392</v>
      </c>
      <c r="BJ72" s="1" t="str">
        <f t="shared" si="95"/>
        <v>yes</v>
      </c>
      <c r="BK72" s="37">
        <f t="shared" si="96"/>
        <v>0.9090782608695633</v>
      </c>
      <c r="BL72" s="37">
        <f t="shared" si="97"/>
        <v>0</v>
      </c>
      <c r="BM72" s="7">
        <f t="shared" si="98"/>
        <v>0.9090782608695633</v>
      </c>
      <c r="BN72" s="7">
        <f t="shared" si="99"/>
        <v>0</v>
      </c>
    </row>
    <row r="73" spans="2:66" ht="18" customHeight="1">
      <c r="B73" s="4" t="s">
        <v>12</v>
      </c>
      <c r="C73" s="4" t="s">
        <v>95</v>
      </c>
      <c r="D73" s="157" t="s">
        <v>80</v>
      </c>
      <c r="E73" s="158" t="s">
        <v>50</v>
      </c>
      <c r="F73" s="79">
        <f t="shared" si="58"/>
        <v>52272</v>
      </c>
      <c r="G73" s="80">
        <f t="shared" si="59"/>
        <v>40</v>
      </c>
      <c r="H73" s="149">
        <f t="shared" si="60"/>
        <v>4</v>
      </c>
      <c r="I73" s="150">
        <f t="shared" si="61"/>
        <v>0</v>
      </c>
      <c r="J73" s="83">
        <f t="shared" si="62"/>
        <v>0</v>
      </c>
      <c r="K73" s="84">
        <f t="shared" si="63"/>
        <v>72.45353739130435</v>
      </c>
      <c r="L73" s="151">
        <f t="shared" si="64"/>
      </c>
      <c r="M73" s="152">
        <f t="shared" si="65"/>
        <v>31.590469565217393</v>
      </c>
      <c r="N73" s="188" t="str">
        <f t="shared" si="66"/>
        <v>New</v>
      </c>
      <c r="O73" s="153">
        <f t="shared" si="67"/>
      </c>
      <c r="P73" s="154">
        <f t="shared" si="68"/>
        <v>40.86306782608696</v>
      </c>
      <c r="Q73" s="176" t="str">
        <f t="shared" si="69"/>
        <v>New</v>
      </c>
      <c r="R73" s="100" t="str">
        <f t="shared" si="70"/>
        <v>New</v>
      </c>
      <c r="S73" s="184">
        <f t="shared" si="71"/>
      </c>
      <c r="U73" s="208" t="s">
        <v>95</v>
      </c>
      <c r="V73" s="4" t="s">
        <v>12</v>
      </c>
      <c r="X73" s="155"/>
      <c r="Y73" s="155"/>
      <c r="Z73" s="155">
        <v>139</v>
      </c>
      <c r="AA73" s="155"/>
      <c r="AB73" s="155"/>
      <c r="AC73" s="155"/>
      <c r="AD73" s="155"/>
      <c r="AE73" s="155">
        <v>179.8</v>
      </c>
      <c r="AF73" s="155"/>
      <c r="AG73" s="32">
        <f t="shared" si="72"/>
        <v>0</v>
      </c>
      <c r="AH73" s="32">
        <f t="shared" si="73"/>
        <v>0</v>
      </c>
      <c r="AI73" s="32">
        <f t="shared" si="74"/>
        <v>318.8</v>
      </c>
      <c r="AJ73" s="33"/>
      <c r="AK73" s="33">
        <v>230000</v>
      </c>
      <c r="AL73" s="33"/>
      <c r="AM73" s="33">
        <v>230000</v>
      </c>
      <c r="AN73" s="33"/>
      <c r="AO73" s="33">
        <v>230000</v>
      </c>
      <c r="AP73" s="67">
        <f t="shared" si="75"/>
        <v>230000</v>
      </c>
      <c r="AQ73" s="34">
        <f t="shared" si="76"/>
        <v>100</v>
      </c>
      <c r="AR73" s="67">
        <f t="shared" si="77"/>
        <v>230000</v>
      </c>
      <c r="AS73" s="34">
        <f t="shared" si="78"/>
        <v>100</v>
      </c>
      <c r="AT73" s="28">
        <f t="shared" si="79"/>
      </c>
      <c r="AU73" s="28">
        <f t="shared" si="80"/>
      </c>
      <c r="AV73" s="28">
        <f t="shared" si="81"/>
      </c>
      <c r="AW73" s="24">
        <f t="shared" si="82"/>
      </c>
      <c r="AX73" s="24">
        <f t="shared" si="83"/>
      </c>
      <c r="AY73" s="24" t="str">
        <f t="shared" si="84"/>
        <v>New</v>
      </c>
      <c r="AZ73" s="156">
        <f t="shared" si="85"/>
        <v>52272</v>
      </c>
      <c r="BA73" s="35">
        <f t="shared" si="86"/>
        <v>0.2272695652173913</v>
      </c>
      <c r="BB73" s="35">
        <f t="shared" si="87"/>
        <v>31.590469565217393</v>
      </c>
      <c r="BC73" s="36">
        <f t="shared" si="88"/>
        <v>40.86306782608696</v>
      </c>
      <c r="BD73" s="36">
        <f t="shared" si="89"/>
        <v>72.45353739130435</v>
      </c>
      <c r="BE73" s="36" t="str">
        <f t="shared" si="90"/>
        <v>yes</v>
      </c>
      <c r="BF73" s="37">
        <f t="shared" si="91"/>
        <v>0.2272695652173913</v>
      </c>
      <c r="BG73" s="37">
        <f t="shared" si="92"/>
      </c>
      <c r="BH73" s="36">
        <f t="shared" si="93"/>
        <v>0</v>
      </c>
      <c r="BI73" s="38">
        <f t="shared" si="94"/>
        <v>0</v>
      </c>
      <c r="BJ73" s="1" t="str">
        <f t="shared" si="95"/>
        <v>yes</v>
      </c>
      <c r="BK73" s="37">
        <f t="shared" si="96"/>
      </c>
      <c r="BL73" s="37">
        <f t="shared" si="97"/>
      </c>
      <c r="BM73" s="7">
        <f t="shared" si="98"/>
      </c>
      <c r="BN73" s="7" t="e">
        <f t="shared" si="99"/>
        <v>#VALUE!</v>
      </c>
    </row>
    <row r="74" spans="2:66" ht="18" customHeight="1">
      <c r="B74" s="4" t="s">
        <v>12</v>
      </c>
      <c r="C74" s="4" t="s">
        <v>95</v>
      </c>
      <c r="D74" s="157" t="s">
        <v>80</v>
      </c>
      <c r="E74" s="158" t="s">
        <v>83</v>
      </c>
      <c r="F74" s="79">
        <f t="shared" si="58"/>
        <v>52272</v>
      </c>
      <c r="G74" s="80">
        <f t="shared" si="59"/>
        <v>40</v>
      </c>
      <c r="H74" s="149">
        <f t="shared" si="60"/>
        <v>4</v>
      </c>
      <c r="I74" s="150">
        <f t="shared" si="61"/>
        <v>67.70360347826086</v>
      </c>
      <c r="J74" s="83">
        <f t="shared" si="62"/>
        <v>71.54445913043479</v>
      </c>
      <c r="K74" s="84">
        <f t="shared" si="63"/>
        <v>65.40818086956523</v>
      </c>
      <c r="L74" s="151">
        <f t="shared" si="64"/>
        <v>30.68139130434783</v>
      </c>
      <c r="M74" s="152">
        <f t="shared" si="65"/>
        <v>24.545113043478263</v>
      </c>
      <c r="N74" s="188">
        <f t="shared" si="66"/>
        <v>-0.20000000000000007</v>
      </c>
      <c r="O74" s="153">
        <f t="shared" si="67"/>
        <v>40.86306782608696</v>
      </c>
      <c r="P74" s="154">
        <f t="shared" si="68"/>
        <v>40.86306782608696</v>
      </c>
      <c r="Q74" s="176">
        <f t="shared" si="69"/>
        <v>0</v>
      </c>
      <c r="R74" s="100">
        <f t="shared" si="70"/>
        <v>-6.13627826086956</v>
      </c>
      <c r="S74" s="184">
        <f t="shared" si="71"/>
        <v>-0.08576874205844973</v>
      </c>
      <c r="U74" s="208" t="s">
        <v>95</v>
      </c>
      <c r="V74" s="4" t="s">
        <v>12</v>
      </c>
      <c r="X74" s="155">
        <v>126</v>
      </c>
      <c r="Y74" s="155">
        <v>135</v>
      </c>
      <c r="Z74" s="155">
        <v>108</v>
      </c>
      <c r="AA74" s="155">
        <v>171.9</v>
      </c>
      <c r="AB74" s="155"/>
      <c r="AC74" s="155">
        <v>179.8</v>
      </c>
      <c r="AD74" s="155"/>
      <c r="AE74" s="155">
        <v>179.8</v>
      </c>
      <c r="AF74" s="155"/>
      <c r="AG74" s="32">
        <f t="shared" si="72"/>
        <v>297.9</v>
      </c>
      <c r="AH74" s="32">
        <f t="shared" si="73"/>
        <v>314.8</v>
      </c>
      <c r="AI74" s="32">
        <f t="shared" si="74"/>
        <v>287.8</v>
      </c>
      <c r="AJ74" s="33"/>
      <c r="AK74" s="33">
        <v>230000</v>
      </c>
      <c r="AL74" s="33"/>
      <c r="AM74" s="33">
        <v>230000</v>
      </c>
      <c r="AN74" s="33"/>
      <c r="AO74" s="33">
        <v>230000</v>
      </c>
      <c r="AP74" s="67">
        <f t="shared" si="75"/>
        <v>230000</v>
      </c>
      <c r="AQ74" s="34">
        <f t="shared" si="76"/>
        <v>100</v>
      </c>
      <c r="AR74" s="67">
        <f t="shared" si="77"/>
        <v>230000</v>
      </c>
      <c r="AS74" s="34">
        <f t="shared" si="78"/>
        <v>100</v>
      </c>
      <c r="AT74" s="28">
        <f t="shared" si="79"/>
        <v>135</v>
      </c>
      <c r="AU74" s="28">
        <f t="shared" si="80"/>
        <v>179.8</v>
      </c>
      <c r="AV74" s="28">
        <f t="shared" si="81"/>
        <v>314.8</v>
      </c>
      <c r="AW74" s="24">
        <f t="shared" si="82"/>
        <v>-27</v>
      </c>
      <c r="AX74" s="24">
        <f t="shared" si="83"/>
        <v>0</v>
      </c>
      <c r="AY74" s="24">
        <f t="shared" si="84"/>
        <v>-27</v>
      </c>
      <c r="AZ74" s="156">
        <f t="shared" si="85"/>
        <v>52272</v>
      </c>
      <c r="BA74" s="35">
        <f t="shared" si="86"/>
        <v>0.2272695652173913</v>
      </c>
      <c r="BB74" s="35">
        <f t="shared" si="87"/>
        <v>24.545113043478263</v>
      </c>
      <c r="BC74" s="36">
        <f t="shared" si="88"/>
        <v>40.86306782608696</v>
      </c>
      <c r="BD74" s="36">
        <f t="shared" si="89"/>
        <v>65.40818086956523</v>
      </c>
      <c r="BE74" s="36" t="str">
        <f t="shared" si="90"/>
        <v>yes</v>
      </c>
      <c r="BF74" s="37">
        <f t="shared" si="91"/>
        <v>0.2272695652173913</v>
      </c>
      <c r="BG74" s="37">
        <f t="shared" si="92"/>
        <v>30.68139130434783</v>
      </c>
      <c r="BH74" s="36">
        <f t="shared" si="93"/>
        <v>40.86306782608696</v>
      </c>
      <c r="BI74" s="38">
        <f t="shared" si="94"/>
        <v>71.54445913043479</v>
      </c>
      <c r="BJ74" s="1" t="str">
        <f t="shared" si="95"/>
        <v>yes</v>
      </c>
      <c r="BK74" s="37">
        <f t="shared" si="96"/>
        <v>-6.136278260869567</v>
      </c>
      <c r="BL74" s="37">
        <f t="shared" si="97"/>
        <v>0</v>
      </c>
      <c r="BM74" s="7">
        <f t="shared" si="98"/>
        <v>-6.13627826086956</v>
      </c>
      <c r="BN74" s="7">
        <f t="shared" si="99"/>
        <v>0</v>
      </c>
    </row>
    <row r="75" spans="2:66" ht="18" customHeight="1">
      <c r="B75" s="4" t="s">
        <v>12</v>
      </c>
      <c r="C75" s="4" t="s">
        <v>95</v>
      </c>
      <c r="D75" s="157" t="s">
        <v>80</v>
      </c>
      <c r="E75" s="158" t="s">
        <v>24</v>
      </c>
      <c r="F75" s="79">
        <f t="shared" si="58"/>
        <v>52272</v>
      </c>
      <c r="G75" s="80">
        <f t="shared" si="59"/>
        <v>40</v>
      </c>
      <c r="H75" s="149">
        <f t="shared" si="60"/>
        <v>4</v>
      </c>
      <c r="I75" s="150">
        <f t="shared" si="61"/>
        <v>67.70360347826086</v>
      </c>
      <c r="J75" s="83">
        <f t="shared" si="62"/>
        <v>71.54445913043479</v>
      </c>
      <c r="K75" s="84">
        <f t="shared" si="63"/>
        <v>72.45353739130435</v>
      </c>
      <c r="L75" s="151">
        <f t="shared" si="64"/>
        <v>30.68139130434783</v>
      </c>
      <c r="M75" s="152">
        <f t="shared" si="65"/>
        <v>31.590469565217393</v>
      </c>
      <c r="N75" s="188">
        <f t="shared" si="66"/>
        <v>0.029629629629629672</v>
      </c>
      <c r="O75" s="153">
        <f t="shared" si="67"/>
        <v>40.86306782608696</v>
      </c>
      <c r="P75" s="154">
        <f t="shared" si="68"/>
        <v>40.86306782608696</v>
      </c>
      <c r="Q75" s="176">
        <f t="shared" si="69"/>
        <v>0</v>
      </c>
      <c r="R75" s="100">
        <f t="shared" si="70"/>
        <v>0.9090782608695633</v>
      </c>
      <c r="S75" s="184">
        <f t="shared" si="71"/>
        <v>0.0127064803049555</v>
      </c>
      <c r="U75" s="208" t="s">
        <v>95</v>
      </c>
      <c r="V75" s="4" t="s">
        <v>12</v>
      </c>
      <c r="X75" s="155">
        <v>126</v>
      </c>
      <c r="Y75" s="155">
        <v>135</v>
      </c>
      <c r="Z75" s="155">
        <v>139</v>
      </c>
      <c r="AA75" s="155">
        <v>171.9</v>
      </c>
      <c r="AB75" s="155"/>
      <c r="AC75" s="155">
        <v>179.8</v>
      </c>
      <c r="AD75" s="155"/>
      <c r="AE75" s="155">
        <v>179.8</v>
      </c>
      <c r="AF75" s="155"/>
      <c r="AG75" s="32">
        <f t="shared" si="72"/>
        <v>297.9</v>
      </c>
      <c r="AH75" s="32">
        <f t="shared" si="73"/>
        <v>314.8</v>
      </c>
      <c r="AI75" s="32">
        <f t="shared" si="74"/>
        <v>318.8</v>
      </c>
      <c r="AJ75" s="33"/>
      <c r="AK75" s="33">
        <v>230000</v>
      </c>
      <c r="AL75" s="33"/>
      <c r="AM75" s="33">
        <v>230000</v>
      </c>
      <c r="AN75" s="33"/>
      <c r="AO75" s="33">
        <v>230000</v>
      </c>
      <c r="AP75" s="67">
        <f t="shared" si="75"/>
        <v>230000</v>
      </c>
      <c r="AQ75" s="34">
        <f t="shared" si="76"/>
        <v>100</v>
      </c>
      <c r="AR75" s="67">
        <f t="shared" si="77"/>
        <v>230000</v>
      </c>
      <c r="AS75" s="34">
        <f t="shared" si="78"/>
        <v>100</v>
      </c>
      <c r="AT75" s="28">
        <f t="shared" si="79"/>
        <v>135</v>
      </c>
      <c r="AU75" s="28">
        <f t="shared" si="80"/>
        <v>179.8</v>
      </c>
      <c r="AV75" s="28">
        <f t="shared" si="81"/>
        <v>314.8</v>
      </c>
      <c r="AW75" s="24">
        <f t="shared" si="82"/>
        <v>4</v>
      </c>
      <c r="AX75" s="24">
        <f t="shared" si="83"/>
        <v>0</v>
      </c>
      <c r="AY75" s="24">
        <f t="shared" si="84"/>
        <v>4</v>
      </c>
      <c r="AZ75" s="156">
        <f t="shared" si="85"/>
        <v>52272</v>
      </c>
      <c r="BA75" s="35">
        <f t="shared" si="86"/>
        <v>0.2272695652173913</v>
      </c>
      <c r="BB75" s="35">
        <f t="shared" si="87"/>
        <v>31.590469565217393</v>
      </c>
      <c r="BC75" s="36">
        <f t="shared" si="88"/>
        <v>40.86306782608696</v>
      </c>
      <c r="BD75" s="36">
        <f t="shared" si="89"/>
        <v>72.45353739130435</v>
      </c>
      <c r="BE75" s="36" t="str">
        <f t="shared" si="90"/>
        <v>yes</v>
      </c>
      <c r="BF75" s="37">
        <f t="shared" si="91"/>
        <v>0.2272695652173913</v>
      </c>
      <c r="BG75" s="37">
        <f t="shared" si="92"/>
        <v>30.68139130434783</v>
      </c>
      <c r="BH75" s="36">
        <f t="shared" si="93"/>
        <v>40.86306782608696</v>
      </c>
      <c r="BI75" s="38">
        <f t="shared" si="94"/>
        <v>71.54445913043479</v>
      </c>
      <c r="BJ75" s="1" t="str">
        <f t="shared" si="95"/>
        <v>yes</v>
      </c>
      <c r="BK75" s="37">
        <f t="shared" si="96"/>
        <v>0.9090782608695633</v>
      </c>
      <c r="BL75" s="37">
        <f t="shared" si="97"/>
        <v>0</v>
      </c>
      <c r="BM75" s="7">
        <f t="shared" si="98"/>
        <v>0.9090782608695633</v>
      </c>
      <c r="BN75" s="7">
        <f t="shared" si="99"/>
        <v>0</v>
      </c>
    </row>
    <row r="76" spans="2:66" ht="18" customHeight="1">
      <c r="B76" s="4" t="s">
        <v>12</v>
      </c>
      <c r="C76" s="4" t="s">
        <v>95</v>
      </c>
      <c r="D76" s="157" t="s">
        <v>190</v>
      </c>
      <c r="E76" s="158" t="s">
        <v>132</v>
      </c>
      <c r="F76" s="79">
        <f t="shared" si="58"/>
        <v>52272</v>
      </c>
      <c r="G76" s="80">
        <f t="shared" si="59"/>
        <v>40</v>
      </c>
      <c r="H76" s="149">
        <f t="shared" si="60"/>
        <v>4</v>
      </c>
      <c r="I76" s="150">
        <f t="shared" si="61"/>
        <v>68.9572224</v>
      </c>
      <c r="J76" s="83">
        <f t="shared" si="62"/>
        <v>74.2994208</v>
      </c>
      <c r="K76" s="84">
        <f t="shared" si="63"/>
        <v>75.13577279999998</v>
      </c>
      <c r="L76" s="151">
        <f t="shared" si="64"/>
        <v>33.4436256</v>
      </c>
      <c r="M76" s="152">
        <f t="shared" si="65"/>
        <v>34.279977599999995</v>
      </c>
      <c r="N76" s="188">
        <f t="shared" si="66"/>
        <v>0.025007814942169304</v>
      </c>
      <c r="O76" s="153">
        <f t="shared" si="67"/>
        <v>40.855795199999996</v>
      </c>
      <c r="P76" s="154">
        <f t="shared" si="68"/>
        <v>40.855795199999996</v>
      </c>
      <c r="Q76" s="176">
        <f t="shared" si="69"/>
        <v>0</v>
      </c>
      <c r="R76" s="100">
        <f t="shared" si="70"/>
        <v>0.8363519999999909</v>
      </c>
      <c r="S76" s="184">
        <f t="shared" si="71"/>
        <v>0.011256507668495728</v>
      </c>
      <c r="U76" s="208" t="s">
        <v>95</v>
      </c>
      <c r="V76" s="4" t="s">
        <v>12</v>
      </c>
      <c r="X76" s="162">
        <v>142.9</v>
      </c>
      <c r="Y76" s="162">
        <v>159.95</v>
      </c>
      <c r="Z76" s="162">
        <v>163.95</v>
      </c>
      <c r="AA76" s="31">
        <v>186.9</v>
      </c>
      <c r="AB76" s="31"/>
      <c r="AC76" s="161">
        <v>195.4</v>
      </c>
      <c r="AD76" s="31"/>
      <c r="AE76" s="161">
        <v>195.4</v>
      </c>
      <c r="AF76" s="31"/>
      <c r="AG76" s="32">
        <f t="shared" si="72"/>
        <v>329.8</v>
      </c>
      <c r="AH76" s="32">
        <f t="shared" si="73"/>
        <v>355.35</v>
      </c>
      <c r="AI76" s="32">
        <f t="shared" si="74"/>
        <v>359.35</v>
      </c>
      <c r="AJ76" s="33"/>
      <c r="AK76" s="33">
        <v>250000</v>
      </c>
      <c r="AL76" s="33"/>
      <c r="AM76" s="33">
        <v>250000</v>
      </c>
      <c r="AN76" s="33"/>
      <c r="AO76" s="33">
        <v>250000</v>
      </c>
      <c r="AP76" s="67">
        <f t="shared" si="75"/>
        <v>250000</v>
      </c>
      <c r="AQ76" s="34">
        <f t="shared" si="76"/>
        <v>100</v>
      </c>
      <c r="AR76" s="67">
        <f t="shared" si="77"/>
        <v>250000</v>
      </c>
      <c r="AS76" s="34">
        <f t="shared" si="78"/>
        <v>100</v>
      </c>
      <c r="AT76" s="28">
        <f t="shared" si="79"/>
        <v>159.95</v>
      </c>
      <c r="AU76" s="28">
        <f t="shared" si="80"/>
        <v>195.4</v>
      </c>
      <c r="AV76" s="28">
        <f t="shared" si="81"/>
        <v>355.35</v>
      </c>
      <c r="AW76" s="24">
        <f t="shared" si="82"/>
        <v>4</v>
      </c>
      <c r="AX76" s="24">
        <f t="shared" si="83"/>
        <v>0</v>
      </c>
      <c r="AY76" s="24">
        <f t="shared" si="84"/>
        <v>4</v>
      </c>
      <c r="AZ76" s="156">
        <f t="shared" si="85"/>
        <v>52272</v>
      </c>
      <c r="BA76" s="35">
        <f t="shared" si="86"/>
        <v>0.209088</v>
      </c>
      <c r="BB76" s="35">
        <f t="shared" si="87"/>
        <v>34.279977599999995</v>
      </c>
      <c r="BC76" s="36">
        <f t="shared" si="88"/>
        <v>40.855795199999996</v>
      </c>
      <c r="BD76" s="36">
        <f t="shared" si="89"/>
        <v>75.13577279999998</v>
      </c>
      <c r="BE76" s="36" t="str">
        <f t="shared" si="90"/>
        <v>yes</v>
      </c>
      <c r="BF76" s="37">
        <f t="shared" si="91"/>
        <v>0.209088</v>
      </c>
      <c r="BG76" s="37">
        <f t="shared" si="92"/>
        <v>33.4436256</v>
      </c>
      <c r="BH76" s="36">
        <f t="shared" si="93"/>
        <v>40.855795199999996</v>
      </c>
      <c r="BI76" s="38">
        <f t="shared" si="94"/>
        <v>74.2994208</v>
      </c>
      <c r="BJ76" s="1" t="str">
        <f t="shared" si="95"/>
        <v>yes</v>
      </c>
      <c r="BK76" s="37">
        <f t="shared" si="96"/>
        <v>0.836351999999998</v>
      </c>
      <c r="BL76" s="37">
        <f t="shared" si="97"/>
        <v>0</v>
      </c>
      <c r="BM76" s="7">
        <f t="shared" si="98"/>
        <v>0.8363519999999909</v>
      </c>
      <c r="BN76" s="7">
        <f t="shared" si="99"/>
        <v>0</v>
      </c>
    </row>
    <row r="77" spans="2:66" ht="18" customHeight="1">
      <c r="B77" s="4" t="s">
        <v>12</v>
      </c>
      <c r="C77" s="4" t="s">
        <v>95</v>
      </c>
      <c r="D77" s="205" t="s">
        <v>190</v>
      </c>
      <c r="E77" s="192" t="s">
        <v>133</v>
      </c>
      <c r="F77" s="79">
        <f t="shared" si="58"/>
        <v>52272</v>
      </c>
      <c r="G77" s="80">
        <f t="shared" si="59"/>
        <v>40</v>
      </c>
      <c r="H77" s="149">
        <f t="shared" si="60"/>
        <v>4</v>
      </c>
      <c r="I77" s="150">
        <f t="shared" si="61"/>
        <v>68.9572224</v>
      </c>
      <c r="J77" s="83">
        <f t="shared" si="62"/>
        <v>73.2539808</v>
      </c>
      <c r="K77" s="84">
        <f t="shared" si="63"/>
        <v>69.90857279999999</v>
      </c>
      <c r="L77" s="151">
        <f t="shared" si="64"/>
        <v>32.3981856</v>
      </c>
      <c r="M77" s="152">
        <f t="shared" si="65"/>
        <v>29.052777599999995</v>
      </c>
      <c r="N77" s="188">
        <f t="shared" si="66"/>
        <v>-0.10325911584382064</v>
      </c>
      <c r="O77" s="153">
        <f t="shared" si="67"/>
        <v>40.855795199999996</v>
      </c>
      <c r="P77" s="154">
        <f t="shared" si="68"/>
        <v>40.855795199999996</v>
      </c>
      <c r="Q77" s="176">
        <f t="shared" si="69"/>
        <v>0</v>
      </c>
      <c r="R77" s="100">
        <f t="shared" si="70"/>
        <v>-3.345408000000006</v>
      </c>
      <c r="S77" s="184">
        <f t="shared" si="71"/>
        <v>-0.04566861709718861</v>
      </c>
      <c r="U77" s="208" t="s">
        <v>95</v>
      </c>
      <c r="V77" s="4" t="s">
        <v>12</v>
      </c>
      <c r="X77" s="155">
        <v>142.9</v>
      </c>
      <c r="Y77" s="155">
        <v>154.95</v>
      </c>
      <c r="Z77" s="155">
        <v>138.95</v>
      </c>
      <c r="AA77" s="155">
        <v>186.9</v>
      </c>
      <c r="AB77" s="155"/>
      <c r="AC77" s="161">
        <v>195.4</v>
      </c>
      <c r="AD77" s="155"/>
      <c r="AE77" s="161">
        <v>195.4</v>
      </c>
      <c r="AF77" s="155"/>
      <c r="AG77" s="32">
        <f t="shared" si="72"/>
        <v>329.8</v>
      </c>
      <c r="AH77" s="32">
        <f t="shared" si="73"/>
        <v>350.35</v>
      </c>
      <c r="AI77" s="32">
        <f t="shared" si="74"/>
        <v>334.35</v>
      </c>
      <c r="AJ77" s="33"/>
      <c r="AK77" s="33">
        <v>250000</v>
      </c>
      <c r="AL77" s="33"/>
      <c r="AM77" s="33">
        <v>250000</v>
      </c>
      <c r="AN77" s="33"/>
      <c r="AO77" s="33">
        <v>250000</v>
      </c>
      <c r="AP77" s="67">
        <f t="shared" si="75"/>
        <v>250000</v>
      </c>
      <c r="AQ77" s="34">
        <f t="shared" si="76"/>
        <v>100</v>
      </c>
      <c r="AR77" s="67">
        <f t="shared" si="77"/>
        <v>250000</v>
      </c>
      <c r="AS77" s="34">
        <f t="shared" si="78"/>
        <v>100</v>
      </c>
      <c r="AT77" s="28">
        <f t="shared" si="79"/>
        <v>154.95</v>
      </c>
      <c r="AU77" s="28">
        <f t="shared" si="80"/>
        <v>195.4</v>
      </c>
      <c r="AV77" s="28">
        <f t="shared" si="81"/>
        <v>350.35</v>
      </c>
      <c r="AW77" s="24">
        <f t="shared" si="82"/>
        <v>-16</v>
      </c>
      <c r="AX77" s="24">
        <f t="shared" si="83"/>
        <v>0</v>
      </c>
      <c r="AY77" s="24">
        <f t="shared" si="84"/>
        <v>-16</v>
      </c>
      <c r="AZ77" s="156">
        <f t="shared" si="85"/>
        <v>52272</v>
      </c>
      <c r="BA77" s="35">
        <f t="shared" si="86"/>
        <v>0.209088</v>
      </c>
      <c r="BB77" s="35">
        <f t="shared" si="87"/>
        <v>29.052777599999995</v>
      </c>
      <c r="BC77" s="36">
        <f t="shared" si="88"/>
        <v>40.855795199999996</v>
      </c>
      <c r="BD77" s="36">
        <f t="shared" si="89"/>
        <v>69.90857279999999</v>
      </c>
      <c r="BE77" s="36" t="str">
        <f t="shared" si="90"/>
        <v>yes</v>
      </c>
      <c r="BF77" s="37">
        <f t="shared" si="91"/>
        <v>0.209088</v>
      </c>
      <c r="BG77" s="37">
        <f t="shared" si="92"/>
        <v>32.3981856</v>
      </c>
      <c r="BH77" s="36">
        <f t="shared" si="93"/>
        <v>40.855795199999996</v>
      </c>
      <c r="BI77" s="38">
        <f t="shared" si="94"/>
        <v>73.2539808</v>
      </c>
      <c r="BJ77" s="1" t="str">
        <f t="shared" si="95"/>
        <v>yes</v>
      </c>
      <c r="BK77" s="37">
        <f t="shared" si="96"/>
        <v>-3.3454080000000026</v>
      </c>
      <c r="BL77" s="37">
        <f t="shared" si="97"/>
        <v>0</v>
      </c>
      <c r="BM77" s="7">
        <f t="shared" si="98"/>
        <v>-3.345408000000006</v>
      </c>
      <c r="BN77" s="7">
        <f t="shared" si="99"/>
        <v>0</v>
      </c>
    </row>
    <row r="78" spans="2:66" ht="18" customHeight="1">
      <c r="B78" s="4" t="s">
        <v>12</v>
      </c>
      <c r="C78" s="4" t="s">
        <v>141</v>
      </c>
      <c r="D78" s="157" t="s">
        <v>190</v>
      </c>
      <c r="E78" s="158" t="s">
        <v>28</v>
      </c>
      <c r="F78" s="79">
        <f t="shared" si="58"/>
        <v>52272</v>
      </c>
      <c r="G78" s="80">
        <f t="shared" si="59"/>
        <v>40</v>
      </c>
      <c r="H78" s="149">
        <f t="shared" si="60"/>
        <v>4</v>
      </c>
      <c r="I78" s="150">
        <f t="shared" si="61"/>
        <v>68.9572224</v>
      </c>
      <c r="J78" s="83">
        <f t="shared" si="62"/>
        <v>73.2539808</v>
      </c>
      <c r="K78" s="84">
        <f t="shared" si="63"/>
        <v>73.2539808</v>
      </c>
      <c r="L78" s="151">
        <f t="shared" si="64"/>
        <v>32.3981856</v>
      </c>
      <c r="M78" s="152">
        <f t="shared" si="65"/>
        <v>32.3981856</v>
      </c>
      <c r="N78" s="188">
        <f t="shared" si="66"/>
        <v>0</v>
      </c>
      <c r="O78" s="153">
        <f t="shared" si="67"/>
        <v>40.855795199999996</v>
      </c>
      <c r="P78" s="154">
        <f t="shared" si="68"/>
        <v>40.855795199999996</v>
      </c>
      <c r="Q78" s="176">
        <f t="shared" si="69"/>
        <v>0</v>
      </c>
      <c r="R78" s="100">
        <f t="shared" si="70"/>
        <v>0</v>
      </c>
      <c r="S78" s="184">
        <f t="shared" si="71"/>
        <v>0</v>
      </c>
      <c r="U78" s="208" t="s">
        <v>95</v>
      </c>
      <c r="V78" s="4" t="s">
        <v>12</v>
      </c>
      <c r="X78" s="155">
        <v>142.9</v>
      </c>
      <c r="Y78" s="155">
        <v>154.95</v>
      </c>
      <c r="Z78" s="155">
        <v>154.95</v>
      </c>
      <c r="AA78" s="155">
        <v>186.9</v>
      </c>
      <c r="AB78" s="155"/>
      <c r="AC78" s="161">
        <v>195.4</v>
      </c>
      <c r="AD78" s="155"/>
      <c r="AE78" s="161">
        <v>195.4</v>
      </c>
      <c r="AF78" s="155"/>
      <c r="AG78" s="32">
        <f t="shared" si="72"/>
        <v>329.8</v>
      </c>
      <c r="AH78" s="32">
        <f t="shared" si="73"/>
        <v>350.35</v>
      </c>
      <c r="AI78" s="32">
        <f t="shared" si="74"/>
        <v>350.35</v>
      </c>
      <c r="AJ78" s="33"/>
      <c r="AK78" s="33">
        <v>250000</v>
      </c>
      <c r="AL78" s="33"/>
      <c r="AM78" s="33">
        <v>250000</v>
      </c>
      <c r="AN78" s="33"/>
      <c r="AO78" s="33">
        <v>250000</v>
      </c>
      <c r="AP78" s="67">
        <f t="shared" si="75"/>
        <v>250000</v>
      </c>
      <c r="AQ78" s="34">
        <f t="shared" si="76"/>
        <v>100</v>
      </c>
      <c r="AR78" s="67">
        <f t="shared" si="77"/>
        <v>250000</v>
      </c>
      <c r="AS78" s="34">
        <f t="shared" si="78"/>
        <v>100</v>
      </c>
      <c r="AT78" s="28">
        <f t="shared" si="79"/>
        <v>154.95</v>
      </c>
      <c r="AU78" s="28">
        <f t="shared" si="80"/>
        <v>195.4</v>
      </c>
      <c r="AV78" s="28">
        <f t="shared" si="81"/>
        <v>350.35</v>
      </c>
      <c r="AW78" s="24">
        <f t="shared" si="82"/>
        <v>0</v>
      </c>
      <c r="AX78" s="24">
        <f t="shared" si="83"/>
        <v>0</v>
      </c>
      <c r="AY78" s="24">
        <f t="shared" si="84"/>
        <v>0</v>
      </c>
      <c r="AZ78" s="156">
        <f t="shared" si="85"/>
        <v>52272</v>
      </c>
      <c r="BA78" s="35">
        <f t="shared" si="86"/>
        <v>0.209088</v>
      </c>
      <c r="BB78" s="35">
        <f t="shared" si="87"/>
        <v>32.3981856</v>
      </c>
      <c r="BC78" s="36">
        <f t="shared" si="88"/>
        <v>40.855795199999996</v>
      </c>
      <c r="BD78" s="36">
        <f t="shared" si="89"/>
        <v>73.2539808</v>
      </c>
      <c r="BE78" s="36" t="str">
        <f t="shared" si="90"/>
        <v>yes</v>
      </c>
      <c r="BF78" s="37">
        <f t="shared" si="91"/>
        <v>0.209088</v>
      </c>
      <c r="BG78" s="37">
        <f t="shared" si="92"/>
        <v>32.3981856</v>
      </c>
      <c r="BH78" s="36">
        <f t="shared" si="93"/>
        <v>40.855795199999996</v>
      </c>
      <c r="BI78" s="38">
        <f t="shared" si="94"/>
        <v>73.2539808</v>
      </c>
      <c r="BJ78" s="1" t="str">
        <f t="shared" si="95"/>
        <v>yes</v>
      </c>
      <c r="BK78" s="37">
        <f t="shared" si="96"/>
        <v>0</v>
      </c>
      <c r="BL78" s="37">
        <f t="shared" si="97"/>
        <v>0</v>
      </c>
      <c r="BM78" s="7">
        <f t="shared" si="98"/>
        <v>0</v>
      </c>
      <c r="BN78" s="7">
        <f t="shared" si="99"/>
        <v>0</v>
      </c>
    </row>
    <row r="79" spans="2:66" ht="18" customHeight="1">
      <c r="B79" s="4" t="s">
        <v>12</v>
      </c>
      <c r="C79" s="4" t="s">
        <v>95</v>
      </c>
      <c r="D79" s="157" t="s">
        <v>190</v>
      </c>
      <c r="E79" s="158" t="s">
        <v>134</v>
      </c>
      <c r="F79" s="79">
        <f t="shared" si="58"/>
        <v>52272</v>
      </c>
      <c r="G79" s="80">
        <f t="shared" si="59"/>
        <v>40</v>
      </c>
      <c r="H79" s="149">
        <f t="shared" si="60"/>
        <v>4</v>
      </c>
      <c r="I79" s="150">
        <f t="shared" si="61"/>
        <v>68.9572224</v>
      </c>
      <c r="J79" s="83">
        <f t="shared" si="62"/>
        <v>73.2539808</v>
      </c>
      <c r="K79" s="84">
        <f t="shared" si="63"/>
        <v>69.90857279999999</v>
      </c>
      <c r="L79" s="151">
        <f t="shared" si="64"/>
        <v>32.3981856</v>
      </c>
      <c r="M79" s="152">
        <f t="shared" si="65"/>
        <v>29.052777599999995</v>
      </c>
      <c r="N79" s="188">
        <f t="shared" si="66"/>
        <v>-0.10325911584382064</v>
      </c>
      <c r="O79" s="153">
        <f t="shared" si="67"/>
        <v>40.855795199999996</v>
      </c>
      <c r="P79" s="154">
        <f t="shared" si="68"/>
        <v>40.855795199999996</v>
      </c>
      <c r="Q79" s="176">
        <f t="shared" si="69"/>
        <v>0</v>
      </c>
      <c r="R79" s="100">
        <f t="shared" si="70"/>
        <v>-3.345408000000006</v>
      </c>
      <c r="S79" s="184">
        <f t="shared" si="71"/>
        <v>-0.04566861709718861</v>
      </c>
      <c r="U79" s="208" t="s">
        <v>95</v>
      </c>
      <c r="V79" s="4" t="s">
        <v>12</v>
      </c>
      <c r="X79" s="155">
        <v>142.9</v>
      </c>
      <c r="Y79" s="155">
        <v>154.95</v>
      </c>
      <c r="Z79" s="155">
        <v>138.95</v>
      </c>
      <c r="AA79" s="155">
        <v>186.9</v>
      </c>
      <c r="AB79" s="155"/>
      <c r="AC79" s="161">
        <v>195.4</v>
      </c>
      <c r="AD79" s="155"/>
      <c r="AE79" s="161">
        <v>195.4</v>
      </c>
      <c r="AF79" s="155"/>
      <c r="AG79" s="32">
        <f t="shared" si="72"/>
        <v>329.8</v>
      </c>
      <c r="AH79" s="32">
        <f t="shared" si="73"/>
        <v>350.35</v>
      </c>
      <c r="AI79" s="32">
        <f t="shared" si="74"/>
        <v>334.35</v>
      </c>
      <c r="AJ79" s="33"/>
      <c r="AK79" s="33">
        <v>250000</v>
      </c>
      <c r="AL79" s="33"/>
      <c r="AM79" s="33">
        <v>250000</v>
      </c>
      <c r="AN79" s="33"/>
      <c r="AO79" s="33">
        <v>250000</v>
      </c>
      <c r="AP79" s="67">
        <f t="shared" si="75"/>
        <v>250000</v>
      </c>
      <c r="AQ79" s="34">
        <f t="shared" si="76"/>
        <v>100</v>
      </c>
      <c r="AR79" s="67">
        <f t="shared" si="77"/>
        <v>250000</v>
      </c>
      <c r="AS79" s="34">
        <f t="shared" si="78"/>
        <v>100</v>
      </c>
      <c r="AT79" s="28">
        <f t="shared" si="79"/>
        <v>154.95</v>
      </c>
      <c r="AU79" s="28">
        <f t="shared" si="80"/>
        <v>195.4</v>
      </c>
      <c r="AV79" s="28">
        <f t="shared" si="81"/>
        <v>350.35</v>
      </c>
      <c r="AW79" s="24">
        <f t="shared" si="82"/>
        <v>-16</v>
      </c>
      <c r="AX79" s="24">
        <f t="shared" si="83"/>
        <v>0</v>
      </c>
      <c r="AY79" s="24">
        <f t="shared" si="84"/>
        <v>-16</v>
      </c>
      <c r="AZ79" s="156">
        <f t="shared" si="85"/>
        <v>52272</v>
      </c>
      <c r="BA79" s="35">
        <f t="shared" si="86"/>
        <v>0.209088</v>
      </c>
      <c r="BB79" s="35">
        <f t="shared" si="87"/>
        <v>29.052777599999995</v>
      </c>
      <c r="BC79" s="36">
        <f t="shared" si="88"/>
        <v>40.855795199999996</v>
      </c>
      <c r="BD79" s="36">
        <f t="shared" si="89"/>
        <v>69.90857279999999</v>
      </c>
      <c r="BE79" s="36" t="str">
        <f t="shared" si="90"/>
        <v>yes</v>
      </c>
      <c r="BF79" s="37">
        <f t="shared" si="91"/>
        <v>0.209088</v>
      </c>
      <c r="BG79" s="37">
        <f t="shared" si="92"/>
        <v>32.3981856</v>
      </c>
      <c r="BH79" s="36">
        <f t="shared" si="93"/>
        <v>40.855795199999996</v>
      </c>
      <c r="BI79" s="38">
        <f t="shared" si="94"/>
        <v>73.2539808</v>
      </c>
      <c r="BJ79" s="1" t="str">
        <f t="shared" si="95"/>
        <v>yes</v>
      </c>
      <c r="BK79" s="37">
        <f t="shared" si="96"/>
        <v>-3.3454080000000026</v>
      </c>
      <c r="BL79" s="37">
        <f t="shared" si="97"/>
        <v>0</v>
      </c>
      <c r="BM79" s="7">
        <f t="shared" si="98"/>
        <v>-3.345408000000006</v>
      </c>
      <c r="BN79" s="7">
        <f t="shared" si="99"/>
        <v>0</v>
      </c>
    </row>
    <row r="80" spans="2:66" ht="18" customHeight="1">
      <c r="B80" s="4" t="s">
        <v>12</v>
      </c>
      <c r="C80" s="4" t="s">
        <v>95</v>
      </c>
      <c r="D80" s="157" t="s">
        <v>190</v>
      </c>
      <c r="E80" s="158" t="s">
        <v>135</v>
      </c>
      <c r="F80" s="79">
        <f t="shared" si="58"/>
        <v>52272</v>
      </c>
      <c r="G80" s="80">
        <f t="shared" si="59"/>
        <v>40</v>
      </c>
      <c r="H80" s="149">
        <f t="shared" si="60"/>
        <v>4</v>
      </c>
      <c r="I80" s="150">
        <f t="shared" si="61"/>
        <v>68.9572224</v>
      </c>
      <c r="J80" s="83">
        <f t="shared" si="62"/>
        <v>73.2539808</v>
      </c>
      <c r="K80" s="84">
        <f t="shared" si="63"/>
        <v>73.2539808</v>
      </c>
      <c r="L80" s="151">
        <f t="shared" si="64"/>
        <v>32.3981856</v>
      </c>
      <c r="M80" s="152">
        <f t="shared" si="65"/>
        <v>32.3981856</v>
      </c>
      <c r="N80" s="188">
        <f t="shared" si="66"/>
        <v>0</v>
      </c>
      <c r="O80" s="153">
        <f t="shared" si="67"/>
        <v>40.855795199999996</v>
      </c>
      <c r="P80" s="154">
        <f t="shared" si="68"/>
        <v>40.855795199999996</v>
      </c>
      <c r="Q80" s="176">
        <f t="shared" si="69"/>
        <v>0</v>
      </c>
      <c r="R80" s="100">
        <f t="shared" si="70"/>
        <v>0</v>
      </c>
      <c r="S80" s="184">
        <f t="shared" si="71"/>
        <v>0</v>
      </c>
      <c r="U80" s="208" t="s">
        <v>95</v>
      </c>
      <c r="V80" s="4" t="s">
        <v>12</v>
      </c>
      <c r="X80" s="155">
        <v>142.9</v>
      </c>
      <c r="Y80" s="155">
        <v>154.95</v>
      </c>
      <c r="Z80" s="155">
        <v>154.95</v>
      </c>
      <c r="AA80" s="155">
        <v>186.9</v>
      </c>
      <c r="AB80" s="155"/>
      <c r="AC80" s="161">
        <v>195.4</v>
      </c>
      <c r="AD80" s="155"/>
      <c r="AE80" s="161">
        <v>195.4</v>
      </c>
      <c r="AF80" s="155"/>
      <c r="AG80" s="32">
        <f t="shared" si="72"/>
        <v>329.8</v>
      </c>
      <c r="AH80" s="32">
        <f t="shared" si="73"/>
        <v>350.35</v>
      </c>
      <c r="AI80" s="32">
        <f t="shared" si="74"/>
        <v>350.35</v>
      </c>
      <c r="AJ80" s="33"/>
      <c r="AK80" s="33">
        <v>250000</v>
      </c>
      <c r="AL80" s="33"/>
      <c r="AM80" s="33">
        <v>250000</v>
      </c>
      <c r="AN80" s="33"/>
      <c r="AO80" s="33">
        <v>250000</v>
      </c>
      <c r="AP80" s="67">
        <f t="shared" si="75"/>
        <v>250000</v>
      </c>
      <c r="AQ80" s="34">
        <f t="shared" si="76"/>
        <v>100</v>
      </c>
      <c r="AR80" s="67">
        <f t="shared" si="77"/>
        <v>250000</v>
      </c>
      <c r="AS80" s="34">
        <f t="shared" si="78"/>
        <v>100</v>
      </c>
      <c r="AT80" s="28">
        <f t="shared" si="79"/>
        <v>154.95</v>
      </c>
      <c r="AU80" s="28">
        <f t="shared" si="80"/>
        <v>195.4</v>
      </c>
      <c r="AV80" s="28">
        <f t="shared" si="81"/>
        <v>350.35</v>
      </c>
      <c r="AW80" s="24">
        <f t="shared" si="82"/>
        <v>0</v>
      </c>
      <c r="AX80" s="24">
        <f t="shared" si="83"/>
        <v>0</v>
      </c>
      <c r="AY80" s="24">
        <f t="shared" si="84"/>
        <v>0</v>
      </c>
      <c r="AZ80" s="156">
        <f t="shared" si="85"/>
        <v>52272</v>
      </c>
      <c r="BA80" s="35">
        <f t="shared" si="86"/>
        <v>0.209088</v>
      </c>
      <c r="BB80" s="35">
        <f t="shared" si="87"/>
        <v>32.3981856</v>
      </c>
      <c r="BC80" s="36">
        <f t="shared" si="88"/>
        <v>40.855795199999996</v>
      </c>
      <c r="BD80" s="36">
        <f t="shared" si="89"/>
        <v>73.2539808</v>
      </c>
      <c r="BE80" s="36" t="str">
        <f t="shared" si="90"/>
        <v>yes</v>
      </c>
      <c r="BF80" s="37">
        <f t="shared" si="91"/>
        <v>0.209088</v>
      </c>
      <c r="BG80" s="37">
        <f t="shared" si="92"/>
        <v>32.3981856</v>
      </c>
      <c r="BH80" s="36">
        <f t="shared" si="93"/>
        <v>40.855795199999996</v>
      </c>
      <c r="BI80" s="38">
        <f t="shared" si="94"/>
        <v>73.2539808</v>
      </c>
      <c r="BJ80" s="1" t="str">
        <f t="shared" si="95"/>
        <v>yes</v>
      </c>
      <c r="BK80" s="37">
        <f t="shared" si="96"/>
        <v>0</v>
      </c>
      <c r="BL80" s="37">
        <f t="shared" si="97"/>
        <v>0</v>
      </c>
      <c r="BM80" s="7">
        <f t="shared" si="98"/>
        <v>0</v>
      </c>
      <c r="BN80" s="7">
        <f t="shared" si="99"/>
        <v>0</v>
      </c>
    </row>
    <row r="81" spans="3:66" ht="18" customHeight="1">
      <c r="C81" s="29"/>
      <c r="D81" s="164" t="s">
        <v>190</v>
      </c>
      <c r="E81" s="192" t="s">
        <v>42</v>
      </c>
      <c r="F81" s="79">
        <f t="shared" si="58"/>
        <v>52272</v>
      </c>
      <c r="G81" s="80">
        <f t="shared" si="59"/>
        <v>40</v>
      </c>
      <c r="H81" s="149">
        <f t="shared" si="60"/>
        <v>4</v>
      </c>
      <c r="I81" s="150">
        <f t="shared" si="61"/>
      </c>
      <c r="J81" s="83">
        <f t="shared" si="62"/>
        <v>74.2994208</v>
      </c>
      <c r="K81" s="84">
        <f t="shared" si="63"/>
        <v>75.13577279999998</v>
      </c>
      <c r="L81" s="151">
        <f t="shared" si="64"/>
        <v>33.4436256</v>
      </c>
      <c r="M81" s="152">
        <f t="shared" si="65"/>
        <v>34.279977599999995</v>
      </c>
      <c r="N81" s="188">
        <f t="shared" si="66"/>
        <v>0.025007814942169304</v>
      </c>
      <c r="O81" s="153">
        <f t="shared" si="67"/>
        <v>40.855795199999996</v>
      </c>
      <c r="P81" s="154">
        <f t="shared" si="68"/>
        <v>40.855795199999996</v>
      </c>
      <c r="Q81" s="176">
        <f t="shared" si="69"/>
        <v>0</v>
      </c>
      <c r="R81" s="100">
        <f t="shared" si="70"/>
        <v>0.8363519999999909</v>
      </c>
      <c r="S81" s="184">
        <f t="shared" si="71"/>
        <v>0.011256507668495728</v>
      </c>
      <c r="U81" s="208" t="s">
        <v>95</v>
      </c>
      <c r="V81" s="4" t="s">
        <v>12</v>
      </c>
      <c r="X81" s="39"/>
      <c r="Y81" s="39">
        <v>159.95</v>
      </c>
      <c r="Z81" s="39">
        <v>163.95</v>
      </c>
      <c r="AA81" s="161"/>
      <c r="AB81" s="39"/>
      <c r="AC81" s="161">
        <v>195.4</v>
      </c>
      <c r="AD81" s="39"/>
      <c r="AE81" s="161">
        <v>195.4</v>
      </c>
      <c r="AF81" s="39"/>
      <c r="AG81" s="32">
        <f t="shared" si="72"/>
        <v>0</v>
      </c>
      <c r="AH81" s="32">
        <f t="shared" si="73"/>
        <v>355.35</v>
      </c>
      <c r="AI81" s="32">
        <f t="shared" si="74"/>
        <v>359.35</v>
      </c>
      <c r="AJ81" s="33"/>
      <c r="AK81" s="33"/>
      <c r="AL81" s="33"/>
      <c r="AM81" s="33">
        <v>250000</v>
      </c>
      <c r="AN81" s="33"/>
      <c r="AO81" s="33">
        <v>250000</v>
      </c>
      <c r="AP81" s="67">
        <f t="shared" si="75"/>
        <v>0</v>
      </c>
      <c r="AQ81" s="34" t="str">
        <f t="shared" si="76"/>
        <v>Not Avail.</v>
      </c>
      <c r="AR81" s="67">
        <f t="shared" si="77"/>
        <v>250000</v>
      </c>
      <c r="AS81" s="34">
        <f t="shared" si="78"/>
        <v>100</v>
      </c>
      <c r="AT81" s="28">
        <f t="shared" si="79"/>
        <v>159.95</v>
      </c>
      <c r="AU81" s="28">
        <f t="shared" si="80"/>
        <v>195.4</v>
      </c>
      <c r="AV81" s="28">
        <f t="shared" si="81"/>
        <v>355.35</v>
      </c>
      <c r="AW81" s="24">
        <f t="shared" si="82"/>
        <v>4</v>
      </c>
      <c r="AX81" s="24">
        <f t="shared" si="83"/>
        <v>0</v>
      </c>
      <c r="AY81" s="24">
        <f t="shared" si="84"/>
        <v>4</v>
      </c>
      <c r="AZ81" s="156">
        <f t="shared" si="85"/>
        <v>52272</v>
      </c>
      <c r="BA81" s="35">
        <f t="shared" si="86"/>
        <v>0.209088</v>
      </c>
      <c r="BB81" s="35">
        <f t="shared" si="87"/>
        <v>34.279977599999995</v>
      </c>
      <c r="BC81" s="36">
        <f t="shared" si="88"/>
        <v>40.855795199999996</v>
      </c>
      <c r="BD81" s="36">
        <f t="shared" si="89"/>
        <v>75.13577279999998</v>
      </c>
      <c r="BE81" s="36" t="str">
        <f t="shared" si="90"/>
        <v>yes</v>
      </c>
      <c r="BF81" s="37">
        <f t="shared" si="91"/>
        <v>0.209088</v>
      </c>
      <c r="BG81" s="37">
        <f t="shared" si="92"/>
        <v>33.4436256</v>
      </c>
      <c r="BH81" s="36">
        <f t="shared" si="93"/>
        <v>40.855795199999996</v>
      </c>
      <c r="BI81" s="38">
        <f t="shared" si="94"/>
        <v>74.2994208</v>
      </c>
      <c r="BJ81" s="1" t="str">
        <f t="shared" si="95"/>
        <v>yes</v>
      </c>
      <c r="BK81" s="37">
        <f t="shared" si="96"/>
        <v>0.836351999999998</v>
      </c>
      <c r="BL81" s="37">
        <f t="shared" si="97"/>
        <v>0</v>
      </c>
      <c r="BM81" s="7">
        <f t="shared" si="98"/>
        <v>0.8363519999999909</v>
      </c>
      <c r="BN81" s="7">
        <f t="shared" si="99"/>
        <v>0</v>
      </c>
    </row>
    <row r="82" spans="3:66" ht="18" customHeight="1">
      <c r="C82" s="29"/>
      <c r="D82" s="164" t="s">
        <v>190</v>
      </c>
      <c r="E82" s="192" t="s">
        <v>43</v>
      </c>
      <c r="F82" s="79">
        <f t="shared" si="58"/>
        <v>52272</v>
      </c>
      <c r="G82" s="80">
        <f t="shared" si="59"/>
        <v>40</v>
      </c>
      <c r="H82" s="149">
        <f t="shared" si="60"/>
        <v>4</v>
      </c>
      <c r="I82" s="150">
        <f t="shared" si="61"/>
      </c>
      <c r="J82" s="83">
        <f t="shared" si="62"/>
        <v>74.2994208</v>
      </c>
      <c r="K82" s="84">
        <f t="shared" si="63"/>
        <v>75.13577279999998</v>
      </c>
      <c r="L82" s="151">
        <f t="shared" si="64"/>
        <v>33.4436256</v>
      </c>
      <c r="M82" s="152">
        <f t="shared" si="65"/>
        <v>34.279977599999995</v>
      </c>
      <c r="N82" s="188">
        <f t="shared" si="66"/>
        <v>0.025007814942169304</v>
      </c>
      <c r="O82" s="153">
        <f t="shared" si="67"/>
        <v>40.855795199999996</v>
      </c>
      <c r="P82" s="154">
        <f t="shared" si="68"/>
        <v>40.855795199999996</v>
      </c>
      <c r="Q82" s="176">
        <f t="shared" si="69"/>
        <v>0</v>
      </c>
      <c r="R82" s="100">
        <f t="shared" si="70"/>
        <v>0.8363519999999909</v>
      </c>
      <c r="S82" s="184">
        <f t="shared" si="71"/>
        <v>0.011256507668495728</v>
      </c>
      <c r="U82" s="208" t="s">
        <v>95</v>
      </c>
      <c r="V82" s="4" t="s">
        <v>12</v>
      </c>
      <c r="X82" s="39"/>
      <c r="Y82" s="39">
        <v>159.95</v>
      </c>
      <c r="Z82" s="39">
        <v>163.95</v>
      </c>
      <c r="AA82" s="161"/>
      <c r="AB82" s="39"/>
      <c r="AC82" s="161">
        <v>195.4</v>
      </c>
      <c r="AD82" s="39"/>
      <c r="AE82" s="161">
        <v>195.4</v>
      </c>
      <c r="AF82" s="39"/>
      <c r="AG82" s="32">
        <f t="shared" si="72"/>
        <v>0</v>
      </c>
      <c r="AH82" s="32">
        <f t="shared" si="73"/>
        <v>355.35</v>
      </c>
      <c r="AI82" s="32">
        <f t="shared" si="74"/>
        <v>359.35</v>
      </c>
      <c r="AJ82" s="33"/>
      <c r="AK82" s="33"/>
      <c r="AL82" s="33"/>
      <c r="AM82" s="33">
        <v>250000</v>
      </c>
      <c r="AN82" s="33"/>
      <c r="AO82" s="33">
        <v>250000</v>
      </c>
      <c r="AP82" s="67">
        <f t="shared" si="75"/>
        <v>0</v>
      </c>
      <c r="AQ82" s="34" t="str">
        <f t="shared" si="76"/>
        <v>Not Avail.</v>
      </c>
      <c r="AR82" s="67">
        <f t="shared" si="77"/>
        <v>250000</v>
      </c>
      <c r="AS82" s="34">
        <f t="shared" si="78"/>
        <v>100</v>
      </c>
      <c r="AT82" s="28">
        <f t="shared" si="79"/>
        <v>159.95</v>
      </c>
      <c r="AU82" s="28">
        <f t="shared" si="80"/>
        <v>195.4</v>
      </c>
      <c r="AV82" s="28">
        <f t="shared" si="81"/>
        <v>355.35</v>
      </c>
      <c r="AW82" s="24">
        <f t="shared" si="82"/>
        <v>4</v>
      </c>
      <c r="AX82" s="24">
        <f t="shared" si="83"/>
        <v>0</v>
      </c>
      <c r="AY82" s="24">
        <f t="shared" si="84"/>
        <v>4</v>
      </c>
      <c r="AZ82" s="156">
        <f t="shared" si="85"/>
        <v>52272</v>
      </c>
      <c r="BA82" s="35">
        <f t="shared" si="86"/>
        <v>0.209088</v>
      </c>
      <c r="BB82" s="35">
        <f t="shared" si="87"/>
        <v>34.279977599999995</v>
      </c>
      <c r="BC82" s="36">
        <f t="shared" si="88"/>
        <v>40.855795199999996</v>
      </c>
      <c r="BD82" s="36">
        <f t="shared" si="89"/>
        <v>75.13577279999998</v>
      </c>
      <c r="BE82" s="36" t="str">
        <f t="shared" si="90"/>
        <v>yes</v>
      </c>
      <c r="BF82" s="37">
        <f t="shared" si="91"/>
        <v>0.209088</v>
      </c>
      <c r="BG82" s="37">
        <f t="shared" si="92"/>
        <v>33.4436256</v>
      </c>
      <c r="BH82" s="36">
        <f t="shared" si="93"/>
        <v>40.855795199999996</v>
      </c>
      <c r="BI82" s="38">
        <f t="shared" si="94"/>
        <v>74.2994208</v>
      </c>
      <c r="BJ82" s="1" t="str">
        <f t="shared" si="95"/>
        <v>yes</v>
      </c>
      <c r="BK82" s="37">
        <f t="shared" si="96"/>
        <v>0.836351999999998</v>
      </c>
      <c r="BL82" s="37">
        <f t="shared" si="97"/>
        <v>0</v>
      </c>
      <c r="BM82" s="7">
        <f t="shared" si="98"/>
        <v>0.8363519999999909</v>
      </c>
      <c r="BN82" s="7">
        <f t="shared" si="99"/>
        <v>0</v>
      </c>
    </row>
    <row r="83" spans="3:66" ht="18" customHeight="1">
      <c r="C83" s="29"/>
      <c r="D83" s="164" t="s">
        <v>190</v>
      </c>
      <c r="E83" s="192" t="s">
        <v>44</v>
      </c>
      <c r="F83" s="79">
        <f t="shared" si="58"/>
        <v>52272</v>
      </c>
      <c r="G83" s="80">
        <f t="shared" si="59"/>
        <v>40</v>
      </c>
      <c r="H83" s="149">
        <f t="shared" si="60"/>
        <v>4</v>
      </c>
      <c r="I83" s="150">
        <f t="shared" si="61"/>
      </c>
      <c r="J83" s="83">
        <f t="shared" si="62"/>
        <v>73.2539808</v>
      </c>
      <c r="K83" s="84">
        <f t="shared" si="63"/>
        <v>73.2539808</v>
      </c>
      <c r="L83" s="151">
        <f t="shared" si="64"/>
        <v>32.3981856</v>
      </c>
      <c r="M83" s="152">
        <f t="shared" si="65"/>
        <v>32.3981856</v>
      </c>
      <c r="N83" s="188">
        <f t="shared" si="66"/>
        <v>0</v>
      </c>
      <c r="O83" s="153">
        <f t="shared" si="67"/>
        <v>40.855795199999996</v>
      </c>
      <c r="P83" s="154">
        <f t="shared" si="68"/>
        <v>40.855795199999996</v>
      </c>
      <c r="Q83" s="176">
        <f t="shared" si="69"/>
        <v>0</v>
      </c>
      <c r="R83" s="100">
        <f t="shared" si="70"/>
        <v>0</v>
      </c>
      <c r="S83" s="184">
        <f t="shared" si="71"/>
        <v>0</v>
      </c>
      <c r="U83" s="208" t="s">
        <v>95</v>
      </c>
      <c r="V83" s="4" t="s">
        <v>12</v>
      </c>
      <c r="X83" s="39"/>
      <c r="Y83" s="39">
        <v>154.95</v>
      </c>
      <c r="Z83" s="39">
        <v>154.95</v>
      </c>
      <c r="AA83" s="161"/>
      <c r="AB83" s="39"/>
      <c r="AC83" s="161">
        <v>195.4</v>
      </c>
      <c r="AD83" s="39"/>
      <c r="AE83" s="161">
        <v>195.4</v>
      </c>
      <c r="AF83" s="39"/>
      <c r="AG83" s="32">
        <f t="shared" si="72"/>
        <v>0</v>
      </c>
      <c r="AH83" s="32">
        <f t="shared" si="73"/>
        <v>350.35</v>
      </c>
      <c r="AI83" s="32">
        <f t="shared" si="74"/>
        <v>350.35</v>
      </c>
      <c r="AJ83" s="33"/>
      <c r="AK83" s="33"/>
      <c r="AL83" s="33"/>
      <c r="AM83" s="33">
        <v>250000</v>
      </c>
      <c r="AN83" s="33"/>
      <c r="AO83" s="33">
        <v>250000</v>
      </c>
      <c r="AP83" s="67">
        <f t="shared" si="75"/>
        <v>0</v>
      </c>
      <c r="AQ83" s="34" t="str">
        <f t="shared" si="76"/>
        <v>Not Avail.</v>
      </c>
      <c r="AR83" s="67">
        <f t="shared" si="77"/>
        <v>250000</v>
      </c>
      <c r="AS83" s="34">
        <f t="shared" si="78"/>
        <v>100</v>
      </c>
      <c r="AT83" s="28">
        <f t="shared" si="79"/>
        <v>154.95</v>
      </c>
      <c r="AU83" s="28">
        <f t="shared" si="80"/>
        <v>195.4</v>
      </c>
      <c r="AV83" s="28">
        <f t="shared" si="81"/>
        <v>350.35</v>
      </c>
      <c r="AW83" s="24">
        <f t="shared" si="82"/>
        <v>0</v>
      </c>
      <c r="AX83" s="24">
        <f t="shared" si="83"/>
        <v>0</v>
      </c>
      <c r="AY83" s="24">
        <f t="shared" si="84"/>
        <v>0</v>
      </c>
      <c r="AZ83" s="156">
        <f t="shared" si="85"/>
        <v>52272</v>
      </c>
      <c r="BA83" s="35">
        <f t="shared" si="86"/>
        <v>0.209088</v>
      </c>
      <c r="BB83" s="35">
        <f t="shared" si="87"/>
        <v>32.3981856</v>
      </c>
      <c r="BC83" s="36">
        <f t="shared" si="88"/>
        <v>40.855795199999996</v>
      </c>
      <c r="BD83" s="36">
        <f t="shared" si="89"/>
        <v>73.2539808</v>
      </c>
      <c r="BE83" s="36" t="str">
        <f t="shared" si="90"/>
        <v>yes</v>
      </c>
      <c r="BF83" s="37">
        <f t="shared" si="91"/>
        <v>0.209088</v>
      </c>
      <c r="BG83" s="37">
        <f t="shared" si="92"/>
        <v>32.3981856</v>
      </c>
      <c r="BH83" s="36">
        <f t="shared" si="93"/>
        <v>40.855795199999996</v>
      </c>
      <c r="BI83" s="38">
        <f t="shared" si="94"/>
        <v>73.2539808</v>
      </c>
      <c r="BJ83" s="1" t="str">
        <f t="shared" si="95"/>
        <v>yes</v>
      </c>
      <c r="BK83" s="37">
        <f t="shared" si="96"/>
        <v>0</v>
      </c>
      <c r="BL83" s="37">
        <f t="shared" si="97"/>
        <v>0</v>
      </c>
      <c r="BM83" s="7">
        <f t="shared" si="98"/>
        <v>0</v>
      </c>
      <c r="BN83" s="7">
        <f t="shared" si="99"/>
        <v>0</v>
      </c>
    </row>
    <row r="84" spans="2:66" ht="18" customHeight="1">
      <c r="B84" s="4" t="s">
        <v>12</v>
      </c>
      <c r="C84" s="4" t="s">
        <v>95</v>
      </c>
      <c r="D84" s="157" t="s">
        <v>190</v>
      </c>
      <c r="E84" s="158" t="s">
        <v>29</v>
      </c>
      <c r="F84" s="79">
        <f t="shared" si="58"/>
        <v>52272</v>
      </c>
      <c r="G84" s="80">
        <f t="shared" si="59"/>
        <v>40</v>
      </c>
      <c r="H84" s="149">
        <f t="shared" si="60"/>
        <v>4</v>
      </c>
      <c r="I84" s="150">
        <f t="shared" si="61"/>
        <v>66.87679680000001</v>
      </c>
      <c r="J84" s="83">
        <f t="shared" si="62"/>
        <v>70.1176608</v>
      </c>
      <c r="K84" s="84">
        <f t="shared" si="63"/>
        <v>69.90857279999999</v>
      </c>
      <c r="L84" s="151">
        <f t="shared" si="64"/>
        <v>29.261865599999997</v>
      </c>
      <c r="M84" s="152">
        <f t="shared" si="65"/>
        <v>29.052777599999995</v>
      </c>
      <c r="N84" s="188">
        <f t="shared" si="66"/>
        <v>-0.00714540907466954</v>
      </c>
      <c r="O84" s="153">
        <f t="shared" si="67"/>
        <v>40.855795199999996</v>
      </c>
      <c r="P84" s="154">
        <f t="shared" si="68"/>
        <v>40.855795199999996</v>
      </c>
      <c r="Q84" s="176">
        <f t="shared" si="69"/>
        <v>0</v>
      </c>
      <c r="R84" s="100">
        <f t="shared" si="70"/>
        <v>-0.20908800000000838</v>
      </c>
      <c r="S84" s="184">
        <f t="shared" si="71"/>
        <v>-0.0029819591471598036</v>
      </c>
      <c r="U84" s="208" t="s">
        <v>95</v>
      </c>
      <c r="V84" s="4" t="s">
        <v>12</v>
      </c>
      <c r="X84" s="162">
        <v>132.95</v>
      </c>
      <c r="Y84" s="162">
        <v>139.95</v>
      </c>
      <c r="Z84" s="162">
        <v>138.95</v>
      </c>
      <c r="AA84" s="155">
        <v>186.9</v>
      </c>
      <c r="AB84" s="31"/>
      <c r="AC84" s="161">
        <v>195.4</v>
      </c>
      <c r="AD84" s="31"/>
      <c r="AE84" s="161">
        <v>195.4</v>
      </c>
      <c r="AF84" s="31"/>
      <c r="AG84" s="32">
        <f t="shared" si="72"/>
        <v>319.85</v>
      </c>
      <c r="AH84" s="32">
        <f t="shared" si="73"/>
        <v>335.35</v>
      </c>
      <c r="AI84" s="32">
        <f t="shared" si="74"/>
        <v>334.35</v>
      </c>
      <c r="AJ84" s="33"/>
      <c r="AK84" s="33">
        <v>250000</v>
      </c>
      <c r="AL84" s="33"/>
      <c r="AM84" s="33">
        <v>250000</v>
      </c>
      <c r="AN84" s="33"/>
      <c r="AO84" s="33">
        <v>250000</v>
      </c>
      <c r="AP84" s="67">
        <f t="shared" si="75"/>
        <v>250000</v>
      </c>
      <c r="AQ84" s="34">
        <f t="shared" si="76"/>
        <v>100</v>
      </c>
      <c r="AR84" s="67">
        <f t="shared" si="77"/>
        <v>250000</v>
      </c>
      <c r="AS84" s="34">
        <f t="shared" si="78"/>
        <v>100</v>
      </c>
      <c r="AT84" s="28">
        <f t="shared" si="79"/>
        <v>139.95</v>
      </c>
      <c r="AU84" s="28">
        <f t="shared" si="80"/>
        <v>195.4</v>
      </c>
      <c r="AV84" s="28">
        <f t="shared" si="81"/>
        <v>335.35</v>
      </c>
      <c r="AW84" s="24">
        <f t="shared" si="82"/>
        <v>-1</v>
      </c>
      <c r="AX84" s="24">
        <f t="shared" si="83"/>
        <v>0</v>
      </c>
      <c r="AY84" s="24">
        <f t="shared" si="84"/>
        <v>-1</v>
      </c>
      <c r="AZ84" s="156">
        <f t="shared" si="85"/>
        <v>52272</v>
      </c>
      <c r="BA84" s="35">
        <f t="shared" si="86"/>
        <v>0.209088</v>
      </c>
      <c r="BB84" s="35">
        <f t="shared" si="87"/>
        <v>29.052777599999995</v>
      </c>
      <c r="BC84" s="36">
        <f t="shared" si="88"/>
        <v>40.855795199999996</v>
      </c>
      <c r="BD84" s="36">
        <f t="shared" si="89"/>
        <v>69.90857279999999</v>
      </c>
      <c r="BE84" s="36" t="str">
        <f t="shared" si="90"/>
        <v>yes</v>
      </c>
      <c r="BF84" s="37">
        <f t="shared" si="91"/>
        <v>0.209088</v>
      </c>
      <c r="BG84" s="37">
        <f t="shared" si="92"/>
        <v>29.261865599999997</v>
      </c>
      <c r="BH84" s="36">
        <f t="shared" si="93"/>
        <v>40.855795199999996</v>
      </c>
      <c r="BI84" s="38">
        <f t="shared" si="94"/>
        <v>70.1176608</v>
      </c>
      <c r="BJ84" s="1" t="str">
        <f t="shared" si="95"/>
        <v>yes</v>
      </c>
      <c r="BK84" s="37">
        <f t="shared" si="96"/>
        <v>-0.20908800000000127</v>
      </c>
      <c r="BL84" s="37">
        <f t="shared" si="97"/>
        <v>0</v>
      </c>
      <c r="BM84" s="7">
        <f t="shared" si="98"/>
        <v>-0.20908800000000838</v>
      </c>
      <c r="BN84" s="7">
        <f t="shared" si="99"/>
        <v>0</v>
      </c>
    </row>
    <row r="85" spans="3:66" ht="18" customHeight="1">
      <c r="C85" s="29"/>
      <c r="D85" s="164" t="s">
        <v>190</v>
      </c>
      <c r="E85" s="192" t="s">
        <v>45</v>
      </c>
      <c r="F85" s="79">
        <f t="shared" si="58"/>
        <v>52272</v>
      </c>
      <c r="G85" s="80">
        <f t="shared" si="59"/>
        <v>40</v>
      </c>
      <c r="H85" s="149">
        <f t="shared" si="60"/>
        <v>4</v>
      </c>
      <c r="I85" s="150">
        <f t="shared" si="61"/>
      </c>
      <c r="J85" s="83">
        <f t="shared" si="62"/>
        <v>71.99945279999999</v>
      </c>
      <c r="K85" s="84">
        <f t="shared" si="63"/>
        <v>69.90857279999999</v>
      </c>
      <c r="L85" s="151">
        <f t="shared" si="64"/>
        <v>31.143657599999994</v>
      </c>
      <c r="M85" s="152">
        <f t="shared" si="65"/>
        <v>29.052777599999995</v>
      </c>
      <c r="N85" s="188">
        <f t="shared" si="66"/>
        <v>-0.06713662302786172</v>
      </c>
      <c r="O85" s="153">
        <f t="shared" si="67"/>
        <v>40.855795199999996</v>
      </c>
      <c r="P85" s="154">
        <f t="shared" si="68"/>
        <v>40.855795199999996</v>
      </c>
      <c r="Q85" s="176">
        <f t="shared" si="69"/>
        <v>0</v>
      </c>
      <c r="R85" s="100">
        <f t="shared" si="70"/>
        <v>-2.0908799999999985</v>
      </c>
      <c r="S85" s="184">
        <f t="shared" si="71"/>
        <v>-0.02904022070567735</v>
      </c>
      <c r="U85" s="208" t="s">
        <v>95</v>
      </c>
      <c r="V85" s="4" t="s">
        <v>12</v>
      </c>
      <c r="X85" s="39"/>
      <c r="Y85" s="39">
        <v>148.95</v>
      </c>
      <c r="Z85" s="39">
        <v>138.95</v>
      </c>
      <c r="AA85" s="161"/>
      <c r="AB85" s="39"/>
      <c r="AC85" s="161">
        <v>195.4</v>
      </c>
      <c r="AD85" s="39"/>
      <c r="AE85" s="161">
        <v>195.4</v>
      </c>
      <c r="AF85" s="39"/>
      <c r="AG85" s="32">
        <f t="shared" si="72"/>
        <v>0</v>
      </c>
      <c r="AH85" s="32">
        <f t="shared" si="73"/>
        <v>344.35</v>
      </c>
      <c r="AI85" s="32">
        <f t="shared" si="74"/>
        <v>334.35</v>
      </c>
      <c r="AJ85" s="33"/>
      <c r="AK85" s="33"/>
      <c r="AL85" s="33"/>
      <c r="AM85" s="33">
        <v>250000</v>
      </c>
      <c r="AN85" s="33"/>
      <c r="AO85" s="33">
        <v>250000</v>
      </c>
      <c r="AP85" s="67">
        <f t="shared" si="75"/>
        <v>0</v>
      </c>
      <c r="AQ85" s="34" t="str">
        <f t="shared" si="76"/>
        <v>Not Avail.</v>
      </c>
      <c r="AR85" s="67">
        <f t="shared" si="77"/>
        <v>250000</v>
      </c>
      <c r="AS85" s="34">
        <f t="shared" si="78"/>
        <v>100</v>
      </c>
      <c r="AT85" s="28">
        <f t="shared" si="79"/>
        <v>148.95</v>
      </c>
      <c r="AU85" s="28">
        <f t="shared" si="80"/>
        <v>195.4</v>
      </c>
      <c r="AV85" s="28">
        <f t="shared" si="81"/>
        <v>344.35</v>
      </c>
      <c r="AW85" s="24">
        <f t="shared" si="82"/>
        <v>-10</v>
      </c>
      <c r="AX85" s="24">
        <f t="shared" si="83"/>
        <v>0</v>
      </c>
      <c r="AY85" s="24">
        <f t="shared" si="84"/>
        <v>-10</v>
      </c>
      <c r="AZ85" s="156">
        <f t="shared" si="85"/>
        <v>52272</v>
      </c>
      <c r="BA85" s="35">
        <f t="shared" si="86"/>
        <v>0.209088</v>
      </c>
      <c r="BB85" s="35">
        <f t="shared" si="87"/>
        <v>29.052777599999995</v>
      </c>
      <c r="BC85" s="36">
        <f t="shared" si="88"/>
        <v>40.855795199999996</v>
      </c>
      <c r="BD85" s="36">
        <f t="shared" si="89"/>
        <v>69.90857279999999</v>
      </c>
      <c r="BE85" s="36" t="str">
        <f t="shared" si="90"/>
        <v>yes</v>
      </c>
      <c r="BF85" s="37">
        <f t="shared" si="91"/>
        <v>0.209088</v>
      </c>
      <c r="BG85" s="37">
        <f t="shared" si="92"/>
        <v>31.143657599999994</v>
      </c>
      <c r="BH85" s="36">
        <f t="shared" si="93"/>
        <v>40.855795199999996</v>
      </c>
      <c r="BI85" s="38">
        <f t="shared" si="94"/>
        <v>71.99945279999999</v>
      </c>
      <c r="BJ85" s="1" t="str">
        <f t="shared" si="95"/>
        <v>yes</v>
      </c>
      <c r="BK85" s="37">
        <f t="shared" si="96"/>
        <v>-2.0908799999999985</v>
      </c>
      <c r="BL85" s="37">
        <f t="shared" si="97"/>
        <v>0</v>
      </c>
      <c r="BM85" s="7">
        <f t="shared" si="98"/>
        <v>-2.0908799999999985</v>
      </c>
      <c r="BN85" s="7">
        <f t="shared" si="99"/>
        <v>0</v>
      </c>
    </row>
    <row r="86" spans="3:66" ht="18" customHeight="1">
      <c r="C86" s="29"/>
      <c r="D86" s="164" t="s">
        <v>190</v>
      </c>
      <c r="E86" s="192" t="s">
        <v>46</v>
      </c>
      <c r="F86" s="79">
        <f t="shared" si="58"/>
        <v>52272</v>
      </c>
      <c r="G86" s="80">
        <f t="shared" si="59"/>
        <v>40</v>
      </c>
      <c r="H86" s="149">
        <f t="shared" si="60"/>
        <v>4</v>
      </c>
      <c r="I86" s="150">
        <f t="shared" si="61"/>
      </c>
      <c r="J86" s="83">
        <f t="shared" si="62"/>
        <v>74.2994208</v>
      </c>
      <c r="K86" s="84">
        <f t="shared" si="63"/>
        <v>75.1253184</v>
      </c>
      <c r="L86" s="151">
        <f t="shared" si="64"/>
        <v>33.4436256</v>
      </c>
      <c r="M86" s="152">
        <f t="shared" si="65"/>
        <v>34.269523199999995</v>
      </c>
      <c r="N86" s="188">
        <f t="shared" si="66"/>
        <v>0.024695217255392254</v>
      </c>
      <c r="O86" s="153">
        <f t="shared" si="67"/>
        <v>40.855795199999996</v>
      </c>
      <c r="P86" s="154">
        <f t="shared" si="68"/>
        <v>40.855795199999996</v>
      </c>
      <c r="Q86" s="176">
        <f t="shared" si="69"/>
        <v>0</v>
      </c>
      <c r="R86" s="100">
        <f t="shared" si="70"/>
        <v>0.8258976000000047</v>
      </c>
      <c r="S86" s="184">
        <f t="shared" si="71"/>
        <v>0.011115801322639715</v>
      </c>
      <c r="U86" s="208" t="s">
        <v>95</v>
      </c>
      <c r="V86" s="4" t="s">
        <v>12</v>
      </c>
      <c r="X86" s="39"/>
      <c r="Y86" s="39">
        <v>159.95</v>
      </c>
      <c r="Z86" s="39">
        <v>163.9</v>
      </c>
      <c r="AA86" s="161"/>
      <c r="AB86" s="39"/>
      <c r="AC86" s="161">
        <v>195.4</v>
      </c>
      <c r="AD86" s="39"/>
      <c r="AE86" s="161">
        <v>195.4</v>
      </c>
      <c r="AF86" s="39"/>
      <c r="AG86" s="32">
        <f t="shared" si="72"/>
        <v>0</v>
      </c>
      <c r="AH86" s="32">
        <f t="shared" si="73"/>
        <v>355.35</v>
      </c>
      <c r="AI86" s="32">
        <f t="shared" si="74"/>
        <v>359.3</v>
      </c>
      <c r="AJ86" s="33"/>
      <c r="AK86" s="33"/>
      <c r="AL86" s="33"/>
      <c r="AM86" s="33">
        <v>250000</v>
      </c>
      <c r="AN86" s="33"/>
      <c r="AO86" s="33">
        <v>250000</v>
      </c>
      <c r="AP86" s="67">
        <f t="shared" si="75"/>
        <v>0</v>
      </c>
      <c r="AQ86" s="34" t="str">
        <f t="shared" si="76"/>
        <v>Not Avail.</v>
      </c>
      <c r="AR86" s="67">
        <f t="shared" si="77"/>
        <v>250000</v>
      </c>
      <c r="AS86" s="34">
        <f t="shared" si="78"/>
        <v>100</v>
      </c>
      <c r="AT86" s="28">
        <f t="shared" si="79"/>
        <v>159.95</v>
      </c>
      <c r="AU86" s="28">
        <f t="shared" si="80"/>
        <v>195.4</v>
      </c>
      <c r="AV86" s="28">
        <f t="shared" si="81"/>
        <v>355.35</v>
      </c>
      <c r="AW86" s="24">
        <f t="shared" si="82"/>
        <v>3.950000000000017</v>
      </c>
      <c r="AX86" s="24">
        <f t="shared" si="83"/>
        <v>0</v>
      </c>
      <c r="AY86" s="24">
        <f t="shared" si="84"/>
        <v>3.9499999999999886</v>
      </c>
      <c r="AZ86" s="156">
        <f t="shared" si="85"/>
        <v>52272</v>
      </c>
      <c r="BA86" s="35">
        <f t="shared" si="86"/>
        <v>0.209088</v>
      </c>
      <c r="BB86" s="35">
        <f t="shared" si="87"/>
        <v>34.269523199999995</v>
      </c>
      <c r="BC86" s="36">
        <f t="shared" si="88"/>
        <v>40.855795199999996</v>
      </c>
      <c r="BD86" s="36">
        <f t="shared" si="89"/>
        <v>75.1253184</v>
      </c>
      <c r="BE86" s="36" t="str">
        <f t="shared" si="90"/>
        <v>yes</v>
      </c>
      <c r="BF86" s="37">
        <f t="shared" si="91"/>
        <v>0.209088</v>
      </c>
      <c r="BG86" s="37">
        <f t="shared" si="92"/>
        <v>33.4436256</v>
      </c>
      <c r="BH86" s="36">
        <f t="shared" si="93"/>
        <v>40.855795199999996</v>
      </c>
      <c r="BI86" s="38">
        <f t="shared" si="94"/>
        <v>74.2994208</v>
      </c>
      <c r="BJ86" s="1" t="str">
        <f t="shared" si="95"/>
        <v>yes</v>
      </c>
      <c r="BK86" s="37">
        <f t="shared" si="96"/>
        <v>0.8258975999999976</v>
      </c>
      <c r="BL86" s="37">
        <f t="shared" si="97"/>
        <v>0</v>
      </c>
      <c r="BM86" s="7">
        <f t="shared" si="98"/>
        <v>0.8258976000000047</v>
      </c>
      <c r="BN86" s="7">
        <f t="shared" si="99"/>
        <v>0</v>
      </c>
    </row>
    <row r="87" spans="3:66" ht="18" customHeight="1">
      <c r="C87" s="29"/>
      <c r="D87" s="164" t="s">
        <v>190</v>
      </c>
      <c r="E87" s="192" t="s">
        <v>47</v>
      </c>
      <c r="F87" s="79">
        <f t="shared" si="58"/>
        <v>52272</v>
      </c>
      <c r="G87" s="80">
        <f t="shared" si="59"/>
        <v>40</v>
      </c>
      <c r="H87" s="149">
        <f t="shared" si="60"/>
        <v>4</v>
      </c>
      <c r="I87" s="150">
        <f t="shared" si="61"/>
      </c>
      <c r="J87" s="83">
        <f t="shared" si="62"/>
        <v>74.2994208</v>
      </c>
      <c r="K87" s="84">
        <f t="shared" si="63"/>
        <v>75.13577279999998</v>
      </c>
      <c r="L87" s="151">
        <f t="shared" si="64"/>
        <v>33.4436256</v>
      </c>
      <c r="M87" s="152">
        <f t="shared" si="65"/>
        <v>34.279977599999995</v>
      </c>
      <c r="N87" s="188">
        <f t="shared" si="66"/>
        <v>0.025007814942169304</v>
      </c>
      <c r="O87" s="153">
        <f t="shared" si="67"/>
        <v>40.855795199999996</v>
      </c>
      <c r="P87" s="154">
        <f t="shared" si="68"/>
        <v>40.855795199999996</v>
      </c>
      <c r="Q87" s="176">
        <f t="shared" si="69"/>
        <v>0</v>
      </c>
      <c r="R87" s="100">
        <f t="shared" si="70"/>
        <v>0.8363519999999909</v>
      </c>
      <c r="S87" s="184">
        <f t="shared" si="71"/>
        <v>0.011256507668495728</v>
      </c>
      <c r="U87" s="208" t="s">
        <v>95</v>
      </c>
      <c r="V87" s="4" t="s">
        <v>12</v>
      </c>
      <c r="X87" s="39"/>
      <c r="Y87" s="39">
        <v>159.95</v>
      </c>
      <c r="Z87" s="39">
        <v>163.95</v>
      </c>
      <c r="AA87" s="161"/>
      <c r="AB87" s="39"/>
      <c r="AC87" s="161">
        <v>195.4</v>
      </c>
      <c r="AD87" s="39"/>
      <c r="AE87" s="161">
        <v>195.4</v>
      </c>
      <c r="AF87" s="39"/>
      <c r="AG87" s="32">
        <f t="shared" si="72"/>
        <v>0</v>
      </c>
      <c r="AH87" s="32">
        <f t="shared" si="73"/>
        <v>355.35</v>
      </c>
      <c r="AI87" s="32">
        <f t="shared" si="74"/>
        <v>359.35</v>
      </c>
      <c r="AJ87" s="33"/>
      <c r="AK87" s="33"/>
      <c r="AL87" s="33"/>
      <c r="AM87" s="33">
        <v>250000</v>
      </c>
      <c r="AN87" s="33"/>
      <c r="AO87" s="33">
        <v>250000</v>
      </c>
      <c r="AP87" s="67">
        <f t="shared" si="75"/>
        <v>0</v>
      </c>
      <c r="AQ87" s="34" t="str">
        <f t="shared" si="76"/>
        <v>Not Avail.</v>
      </c>
      <c r="AR87" s="67">
        <f t="shared" si="77"/>
        <v>250000</v>
      </c>
      <c r="AS87" s="34">
        <f t="shared" si="78"/>
        <v>100</v>
      </c>
      <c r="AT87" s="28">
        <f t="shared" si="79"/>
        <v>159.95</v>
      </c>
      <c r="AU87" s="28">
        <f t="shared" si="80"/>
        <v>195.4</v>
      </c>
      <c r="AV87" s="28">
        <f t="shared" si="81"/>
        <v>355.35</v>
      </c>
      <c r="AW87" s="24">
        <f t="shared" si="82"/>
        <v>4</v>
      </c>
      <c r="AX87" s="24">
        <f t="shared" si="83"/>
        <v>0</v>
      </c>
      <c r="AY87" s="24">
        <f t="shared" si="84"/>
        <v>4</v>
      </c>
      <c r="AZ87" s="156">
        <f t="shared" si="85"/>
        <v>52272</v>
      </c>
      <c r="BA87" s="35">
        <f t="shared" si="86"/>
        <v>0.209088</v>
      </c>
      <c r="BB87" s="35">
        <f t="shared" si="87"/>
        <v>34.279977599999995</v>
      </c>
      <c r="BC87" s="36">
        <f t="shared" si="88"/>
        <v>40.855795199999996</v>
      </c>
      <c r="BD87" s="36">
        <f t="shared" si="89"/>
        <v>75.13577279999998</v>
      </c>
      <c r="BE87" s="36" t="str">
        <f t="shared" si="90"/>
        <v>yes</v>
      </c>
      <c r="BF87" s="37">
        <f t="shared" si="91"/>
        <v>0.209088</v>
      </c>
      <c r="BG87" s="37">
        <f t="shared" si="92"/>
        <v>33.4436256</v>
      </c>
      <c r="BH87" s="36">
        <f t="shared" si="93"/>
        <v>40.855795199999996</v>
      </c>
      <c r="BI87" s="38">
        <f t="shared" si="94"/>
        <v>74.2994208</v>
      </c>
      <c r="BJ87" s="1" t="str">
        <f t="shared" si="95"/>
        <v>yes</v>
      </c>
      <c r="BK87" s="37">
        <f t="shared" si="96"/>
        <v>0.836351999999998</v>
      </c>
      <c r="BL87" s="37">
        <f t="shared" si="97"/>
        <v>0</v>
      </c>
      <c r="BM87" s="7">
        <f t="shared" si="98"/>
        <v>0.8363519999999909</v>
      </c>
      <c r="BN87" s="7">
        <f t="shared" si="99"/>
        <v>0</v>
      </c>
    </row>
    <row r="88" spans="3:66" ht="18" customHeight="1">
      <c r="C88" s="29"/>
      <c r="D88" s="164" t="s">
        <v>190</v>
      </c>
      <c r="E88" s="192" t="s">
        <v>48</v>
      </c>
      <c r="F88" s="79">
        <f t="shared" si="58"/>
        <v>52272</v>
      </c>
      <c r="G88" s="80">
        <f t="shared" si="59"/>
        <v>40</v>
      </c>
      <c r="H88" s="149">
        <f t="shared" si="60"/>
        <v>4</v>
      </c>
      <c r="I88" s="150">
        <f>IF(AK88="","",IF($F88&gt;0,($F88/$AK88)*AG88,IF($G88&gt;0,(((43560/($G88/12))*$H88)/$AK88)*AG88,0)))</f>
      </c>
      <c r="J88" s="83">
        <f>BI88</f>
        <v>73.2539808</v>
      </c>
      <c r="K88" s="84">
        <f>BD88</f>
        <v>75.13577279999998</v>
      </c>
      <c r="L88" s="151">
        <f>BG88</f>
        <v>32.3981856</v>
      </c>
      <c r="M88" s="152">
        <f>BB88</f>
        <v>34.279977599999995</v>
      </c>
      <c r="N88" s="188">
        <f>IF(R88="New","New",(M88/L88)-1)</f>
        <v>0.05808325266214909</v>
      </c>
      <c r="O88" s="153">
        <f>IF(AW88="","",BH88)</f>
        <v>40.855795199999996</v>
      </c>
      <c r="P88" s="154">
        <f>IF(BC88="","",BC88)</f>
        <v>40.855795199999996</v>
      </c>
      <c r="Q88" s="176">
        <f>IF(R88="New","New",IF(AX88="","",(P88/O88)-1))</f>
        <v>0</v>
      </c>
      <c r="R88" s="100">
        <f>IF(J88="","New",IF(J88=0,"New",K88-J88))</f>
        <v>1.8817919999999901</v>
      </c>
      <c r="S88" s="184">
        <f>IF(R88="New","",R88/J88)</f>
        <v>0.025688597117168414</v>
      </c>
      <c r="U88" s="208" t="s">
        <v>95</v>
      </c>
      <c r="V88" s="4" t="s">
        <v>12</v>
      </c>
      <c r="X88" s="39"/>
      <c r="Y88" s="155">
        <v>154.95</v>
      </c>
      <c r="Z88" s="39">
        <v>163.95</v>
      </c>
      <c r="AA88" s="161"/>
      <c r="AB88" s="39"/>
      <c r="AC88" s="161">
        <v>195.4</v>
      </c>
      <c r="AD88" s="39"/>
      <c r="AE88" s="161">
        <v>195.4</v>
      </c>
      <c r="AF88" s="39"/>
      <c r="AG88" s="32">
        <f t="shared" si="72"/>
        <v>0</v>
      </c>
      <c r="AH88" s="32">
        <f t="shared" si="73"/>
        <v>350.35</v>
      </c>
      <c r="AI88" s="32">
        <f t="shared" si="74"/>
        <v>359.35</v>
      </c>
      <c r="AJ88" s="33"/>
      <c r="AK88" s="33"/>
      <c r="AL88" s="33"/>
      <c r="AM88" s="33">
        <v>250000</v>
      </c>
      <c r="AN88" s="33"/>
      <c r="AO88" s="33">
        <v>250000</v>
      </c>
      <c r="AP88" s="67">
        <f>AK88</f>
        <v>0</v>
      </c>
      <c r="AQ88" s="34" t="str">
        <f>IF(AK88&gt;0,AM88/AK88*100,"Not Avail.")</f>
        <v>Not Avail.</v>
      </c>
      <c r="AR88" s="67">
        <f>AM88</f>
        <v>250000</v>
      </c>
      <c r="AS88" s="34">
        <f>IF(AM88&gt;0,AO88/AM88*100,"Not Avail.")</f>
        <v>100</v>
      </c>
      <c r="AT88" s="28">
        <f t="shared" si="79"/>
        <v>154.95</v>
      </c>
      <c r="AU88" s="28">
        <f t="shared" si="80"/>
        <v>195.4</v>
      </c>
      <c r="AV88" s="28">
        <f>IF(AT88="","",SUM(AT88:AU88))</f>
        <v>350.35</v>
      </c>
      <c r="AW88" s="24">
        <f t="shared" si="82"/>
        <v>9</v>
      </c>
      <c r="AX88" s="24">
        <f t="shared" si="83"/>
        <v>0</v>
      </c>
      <c r="AY88" s="24">
        <f>IF(AH88&gt;0,AI88-AV88,"New")</f>
        <v>9</v>
      </c>
      <c r="AZ88" s="156">
        <f>F88</f>
        <v>52272</v>
      </c>
      <c r="BA88" s="35">
        <f t="shared" si="86"/>
        <v>0.209088</v>
      </c>
      <c r="BB88" s="35">
        <f t="shared" si="87"/>
        <v>34.279977599999995</v>
      </c>
      <c r="BC88" s="36">
        <f t="shared" si="88"/>
        <v>40.855795199999996</v>
      </c>
      <c r="BD88" s="36">
        <f>BB88+BC88</f>
        <v>75.13577279999998</v>
      </c>
      <c r="BE88" s="36" t="str">
        <f>IF(BD88=K88,"yes","no")</f>
        <v>yes</v>
      </c>
      <c r="BF88" s="37">
        <f>IF(AM88="","",IF($F88&gt;0,($F88/AM88),IF($G88&gt;0,((((43560/($G88/12))*$H88)/$AM88)),0)))</f>
        <v>0.209088</v>
      </c>
      <c r="BG88" s="37">
        <f t="shared" si="92"/>
        <v>32.3981856</v>
      </c>
      <c r="BH88" s="36">
        <f t="shared" si="93"/>
        <v>40.855795199999996</v>
      </c>
      <c r="BI88" s="38">
        <f>SUM(BG88:BH88)</f>
        <v>73.2539808</v>
      </c>
      <c r="BJ88" s="1" t="str">
        <f>IF(J88=BI88,"yes","no")</f>
        <v>yes</v>
      </c>
      <c r="BK88" s="37">
        <f>IF(BG88="","",IF(BG88=0,"",BB88-BG88))</f>
        <v>1.8817919999999972</v>
      </c>
      <c r="BL88" s="37">
        <f>IF(BH88="","",IF(BH88=0,"",BC88-BH88))</f>
        <v>0</v>
      </c>
      <c r="BM88" s="7">
        <f>IF(BK88="","",BD88-BI88)</f>
        <v>1.8817919999999901</v>
      </c>
      <c r="BN88" s="7">
        <f>R88-BM88</f>
        <v>0</v>
      </c>
    </row>
    <row r="89" spans="3:66" ht="18" customHeight="1">
      <c r="C89" s="29"/>
      <c r="D89" s="164" t="s">
        <v>190</v>
      </c>
      <c r="E89" s="192" t="s">
        <v>49</v>
      </c>
      <c r="F89" s="79">
        <f t="shared" si="58"/>
        <v>52272</v>
      </c>
      <c r="G89" s="80">
        <f t="shared" si="59"/>
        <v>40</v>
      </c>
      <c r="H89" s="149">
        <f t="shared" si="60"/>
        <v>4</v>
      </c>
      <c r="I89" s="150">
        <f>IF(AK89="","",IF($F89&gt;0,($F89/$AK89)*AG89,IF($G89&gt;0,(((43560/($G89/12))*$H89)/$AK89)*AG89,0)))</f>
      </c>
      <c r="J89" s="83">
        <f>BI89</f>
        <v>73.2539808</v>
      </c>
      <c r="K89" s="84">
        <f>BD89</f>
        <v>75.13577279999998</v>
      </c>
      <c r="L89" s="151">
        <f>BG89</f>
        <v>32.3981856</v>
      </c>
      <c r="M89" s="152">
        <f>BB89</f>
        <v>34.279977599999995</v>
      </c>
      <c r="N89" s="188">
        <f>IF(R89="New","New",(M89/L89)-1)</f>
        <v>0.05808325266214909</v>
      </c>
      <c r="O89" s="153">
        <f>IF(AW89="","",BH89)</f>
        <v>40.855795199999996</v>
      </c>
      <c r="P89" s="154">
        <f>IF(BC89="","",BC89)</f>
        <v>40.855795199999996</v>
      </c>
      <c r="Q89" s="176">
        <f>IF(R89="New","New",IF(AX89="","",(P89/O89)-1))</f>
        <v>0</v>
      </c>
      <c r="R89" s="100">
        <f>IF(J89="","New",IF(J89=0,"New",K89-J89))</f>
        <v>1.8817919999999901</v>
      </c>
      <c r="S89" s="184">
        <f>IF(R89="New","",R89/J89)</f>
        <v>0.025688597117168414</v>
      </c>
      <c r="U89" s="208" t="s">
        <v>95</v>
      </c>
      <c r="V89" s="4" t="s">
        <v>12</v>
      </c>
      <c r="X89" s="39"/>
      <c r="Y89" s="155">
        <v>154.95</v>
      </c>
      <c r="Z89" s="39">
        <v>163.95</v>
      </c>
      <c r="AA89" s="161"/>
      <c r="AB89" s="39"/>
      <c r="AC89" s="161">
        <v>195.4</v>
      </c>
      <c r="AD89" s="39"/>
      <c r="AE89" s="161">
        <v>195.4</v>
      </c>
      <c r="AF89" s="39"/>
      <c r="AG89" s="32">
        <f t="shared" si="72"/>
        <v>0</v>
      </c>
      <c r="AH89" s="32">
        <f t="shared" si="73"/>
        <v>350.35</v>
      </c>
      <c r="AI89" s="32">
        <f t="shared" si="74"/>
        <v>359.35</v>
      </c>
      <c r="AJ89" s="33"/>
      <c r="AK89" s="33"/>
      <c r="AL89" s="33"/>
      <c r="AM89" s="33">
        <v>250000</v>
      </c>
      <c r="AN89" s="33"/>
      <c r="AO89" s="33">
        <v>250000</v>
      </c>
      <c r="AP89" s="67">
        <f>AK89</f>
        <v>0</v>
      </c>
      <c r="AQ89" s="34" t="str">
        <f>IF(AK89&gt;0,AM89/AK89*100,"Not Avail.")</f>
        <v>Not Avail.</v>
      </c>
      <c r="AR89" s="67">
        <f>AM89</f>
        <v>250000</v>
      </c>
      <c r="AS89" s="34">
        <f>IF(AM89&gt;0,AO89/AM89*100,"Not Avail.")</f>
        <v>100</v>
      </c>
      <c r="AT89" s="28">
        <f t="shared" si="79"/>
        <v>154.95</v>
      </c>
      <c r="AU89" s="28">
        <f t="shared" si="80"/>
        <v>195.4</v>
      </c>
      <c r="AV89" s="28">
        <f>IF(AT89="","",SUM(AT89:AU89))</f>
        <v>350.35</v>
      </c>
      <c r="AW89" s="24">
        <f t="shared" si="82"/>
        <v>9</v>
      </c>
      <c r="AX89" s="24">
        <f t="shared" si="83"/>
        <v>0</v>
      </c>
      <c r="AY89" s="24">
        <f>IF(AH89&gt;0,AI89-AV89,"New")</f>
        <v>9</v>
      </c>
      <c r="AZ89" s="156">
        <f>F89</f>
        <v>52272</v>
      </c>
      <c r="BA89" s="35">
        <f t="shared" si="86"/>
        <v>0.209088</v>
      </c>
      <c r="BB89" s="35">
        <f t="shared" si="87"/>
        <v>34.279977599999995</v>
      </c>
      <c r="BC89" s="36">
        <f t="shared" si="88"/>
        <v>40.855795199999996</v>
      </c>
      <c r="BD89" s="36">
        <f>BB89+BC89</f>
        <v>75.13577279999998</v>
      </c>
      <c r="BE89" s="36" t="str">
        <f>IF(BD89=K89,"yes","no")</f>
        <v>yes</v>
      </c>
      <c r="BF89" s="37">
        <f>IF(AM89="","",IF($F89&gt;0,($F89/AM89),IF($G89&gt;0,((((43560/($G89/12))*$H89)/$AM89)),0)))</f>
        <v>0.209088</v>
      </c>
      <c r="BG89" s="37">
        <f t="shared" si="92"/>
        <v>32.3981856</v>
      </c>
      <c r="BH89" s="36">
        <f t="shared" si="93"/>
        <v>40.855795199999996</v>
      </c>
      <c r="BI89" s="38">
        <f>SUM(BG89:BH89)</f>
        <v>73.2539808</v>
      </c>
      <c r="BJ89" s="1" t="str">
        <f>IF(J89=BI89,"yes","no")</f>
        <v>yes</v>
      </c>
      <c r="BK89" s="37">
        <f>IF(BG89="","",IF(BG89=0,"",BB89-BG89))</f>
        <v>1.8817919999999972</v>
      </c>
      <c r="BL89" s="37">
        <f>IF(BH89="","",IF(BH89=0,"",BC89-BH89))</f>
        <v>0</v>
      </c>
      <c r="BM89" s="7">
        <f>IF(BK89="","",BD89-BI89)</f>
        <v>1.8817919999999901</v>
      </c>
      <c r="BN89" s="7">
        <f>R89-BM89</f>
        <v>0</v>
      </c>
    </row>
    <row r="90" spans="2:66" ht="18" customHeight="1">
      <c r="B90" s="4" t="s">
        <v>12</v>
      </c>
      <c r="C90" s="4" t="s">
        <v>97</v>
      </c>
      <c r="D90" s="157" t="s">
        <v>190</v>
      </c>
      <c r="E90" s="158" t="s">
        <v>234</v>
      </c>
      <c r="F90" s="79">
        <f t="shared" si="58"/>
        <v>52272</v>
      </c>
      <c r="G90" s="80">
        <f t="shared" si="59"/>
        <v>40</v>
      </c>
      <c r="H90" s="149">
        <f t="shared" si="60"/>
        <v>4</v>
      </c>
      <c r="I90" s="150">
        <f t="shared" si="61"/>
        <v>58.617820800000004</v>
      </c>
      <c r="J90" s="83">
        <f t="shared" si="62"/>
        <v>61.48232639999999</v>
      </c>
      <c r="K90" s="84">
        <f t="shared" si="63"/>
        <v>61.2732384</v>
      </c>
      <c r="L90" s="151">
        <f t="shared" si="64"/>
        <v>29.261865599999997</v>
      </c>
      <c r="M90" s="152">
        <f t="shared" si="65"/>
        <v>29.052777599999995</v>
      </c>
      <c r="N90" s="188">
        <f t="shared" si="66"/>
        <v>-0.00714540907466954</v>
      </c>
      <c r="O90" s="153">
        <f t="shared" si="67"/>
        <v>32.2204608</v>
      </c>
      <c r="P90" s="154">
        <f t="shared" si="68"/>
        <v>32.2204608</v>
      </c>
      <c r="Q90" s="176">
        <f t="shared" si="69"/>
        <v>0</v>
      </c>
      <c r="R90" s="100">
        <f t="shared" si="70"/>
        <v>-0.20908799999999417</v>
      </c>
      <c r="S90" s="184">
        <f t="shared" si="71"/>
        <v>-0.003400782179901283</v>
      </c>
      <c r="U90" s="208" t="s">
        <v>97</v>
      </c>
      <c r="V90" s="4" t="s">
        <v>12</v>
      </c>
      <c r="X90" s="155">
        <v>137.15</v>
      </c>
      <c r="Y90" s="155">
        <v>139.95</v>
      </c>
      <c r="Z90" s="155">
        <v>138.95</v>
      </c>
      <c r="AA90" s="155">
        <v>143.2</v>
      </c>
      <c r="AB90" s="155"/>
      <c r="AC90" s="155">
        <v>154.1</v>
      </c>
      <c r="AD90" s="155"/>
      <c r="AE90" s="155">
        <v>154.1</v>
      </c>
      <c r="AF90" s="155"/>
      <c r="AG90" s="32">
        <f t="shared" si="72"/>
        <v>280.35</v>
      </c>
      <c r="AH90" s="32">
        <f t="shared" si="73"/>
        <v>294.04999999999995</v>
      </c>
      <c r="AI90" s="32">
        <f t="shared" si="74"/>
        <v>293.04999999999995</v>
      </c>
      <c r="AJ90" s="33"/>
      <c r="AK90" s="33">
        <v>250000</v>
      </c>
      <c r="AL90" s="33"/>
      <c r="AM90" s="33">
        <v>250000</v>
      </c>
      <c r="AN90" s="33"/>
      <c r="AO90" s="33">
        <v>250000</v>
      </c>
      <c r="AP90" s="67">
        <f t="shared" si="75"/>
        <v>250000</v>
      </c>
      <c r="AQ90" s="34">
        <f t="shared" si="76"/>
        <v>100</v>
      </c>
      <c r="AR90" s="67">
        <f t="shared" si="77"/>
        <v>250000</v>
      </c>
      <c r="AS90" s="34">
        <f t="shared" si="78"/>
        <v>100</v>
      </c>
      <c r="AT90" s="28">
        <f t="shared" si="79"/>
        <v>139.95</v>
      </c>
      <c r="AU90" s="28">
        <f t="shared" si="80"/>
        <v>154.1</v>
      </c>
      <c r="AV90" s="28">
        <f t="shared" si="81"/>
        <v>294.04999999999995</v>
      </c>
      <c r="AW90" s="24">
        <f t="shared" si="82"/>
        <v>-1</v>
      </c>
      <c r="AX90" s="24">
        <f t="shared" si="83"/>
        <v>0</v>
      </c>
      <c r="AY90" s="24">
        <f t="shared" si="84"/>
        <v>-1</v>
      </c>
      <c r="AZ90" s="156">
        <f t="shared" si="85"/>
        <v>52272</v>
      </c>
      <c r="BA90" s="35">
        <f t="shared" si="86"/>
        <v>0.209088</v>
      </c>
      <c r="BB90" s="35">
        <f t="shared" si="87"/>
        <v>29.052777599999995</v>
      </c>
      <c r="BC90" s="36">
        <f t="shared" si="88"/>
        <v>32.2204608</v>
      </c>
      <c r="BD90" s="36">
        <f t="shared" si="89"/>
        <v>61.2732384</v>
      </c>
      <c r="BE90" s="36" t="str">
        <f t="shared" si="90"/>
        <v>yes</v>
      </c>
      <c r="BF90" s="37">
        <f t="shared" si="91"/>
        <v>0.209088</v>
      </c>
      <c r="BG90" s="37">
        <f t="shared" si="92"/>
        <v>29.261865599999997</v>
      </c>
      <c r="BH90" s="36">
        <f t="shared" si="93"/>
        <v>32.2204608</v>
      </c>
      <c r="BI90" s="38">
        <f t="shared" si="94"/>
        <v>61.48232639999999</v>
      </c>
      <c r="BJ90" s="1" t="str">
        <f t="shared" si="95"/>
        <v>yes</v>
      </c>
      <c r="BK90" s="37">
        <f t="shared" si="96"/>
        <v>-0.20908800000000127</v>
      </c>
      <c r="BL90" s="37">
        <f t="shared" si="97"/>
        <v>0</v>
      </c>
      <c r="BM90" s="7">
        <f t="shared" si="98"/>
        <v>-0.20908799999999417</v>
      </c>
      <c r="BN90" s="7">
        <f t="shared" si="99"/>
        <v>0</v>
      </c>
    </row>
    <row r="91" spans="2:66" ht="18" customHeight="1">
      <c r="B91" s="4" t="s">
        <v>12</v>
      </c>
      <c r="C91" s="4" t="s">
        <v>95</v>
      </c>
      <c r="D91" s="157" t="s">
        <v>190</v>
      </c>
      <c r="E91" s="158" t="s">
        <v>16</v>
      </c>
      <c r="F91" s="79">
        <f t="shared" si="58"/>
        <v>52272</v>
      </c>
      <c r="G91" s="80">
        <f t="shared" si="59"/>
        <v>40</v>
      </c>
      <c r="H91" s="149">
        <f t="shared" si="60"/>
        <v>4</v>
      </c>
      <c r="I91" s="150">
        <f t="shared" si="61"/>
        <v>67.7549664</v>
      </c>
      <c r="J91" s="83">
        <f t="shared" si="62"/>
        <v>71.99945279999999</v>
      </c>
      <c r="K91" s="84">
        <f t="shared" si="63"/>
        <v>69.90857279999999</v>
      </c>
      <c r="L91" s="151">
        <f t="shared" si="64"/>
        <v>31.143657599999994</v>
      </c>
      <c r="M91" s="152">
        <f t="shared" si="65"/>
        <v>29.052777599999995</v>
      </c>
      <c r="N91" s="188">
        <f t="shared" si="66"/>
        <v>-0.06713662302786172</v>
      </c>
      <c r="O91" s="153">
        <f t="shared" si="67"/>
        <v>40.855795199999996</v>
      </c>
      <c r="P91" s="154">
        <f t="shared" si="68"/>
        <v>40.855795199999996</v>
      </c>
      <c r="Q91" s="176">
        <f t="shared" si="69"/>
        <v>0</v>
      </c>
      <c r="R91" s="100">
        <f t="shared" si="70"/>
        <v>-2.0908799999999985</v>
      </c>
      <c r="S91" s="184">
        <f t="shared" si="71"/>
        <v>-0.02904022070567735</v>
      </c>
      <c r="U91" s="208" t="s">
        <v>95</v>
      </c>
      <c r="V91" s="4" t="s">
        <v>12</v>
      </c>
      <c r="X91" s="155">
        <v>137.15</v>
      </c>
      <c r="Y91" s="210">
        <v>148.95</v>
      </c>
      <c r="Z91" s="155">
        <v>138.95</v>
      </c>
      <c r="AA91" s="155">
        <v>186.9</v>
      </c>
      <c r="AB91" s="155"/>
      <c r="AC91" s="223">
        <v>195.4</v>
      </c>
      <c r="AD91" s="155"/>
      <c r="AE91" s="161">
        <v>195.4</v>
      </c>
      <c r="AF91" s="155"/>
      <c r="AG91" s="32">
        <f t="shared" si="72"/>
        <v>324.05</v>
      </c>
      <c r="AH91" s="32">
        <f t="shared" si="73"/>
        <v>344.35</v>
      </c>
      <c r="AI91" s="32">
        <f t="shared" si="74"/>
        <v>334.35</v>
      </c>
      <c r="AJ91" s="33"/>
      <c r="AK91" s="33">
        <v>250000</v>
      </c>
      <c r="AL91" s="33"/>
      <c r="AM91" s="33">
        <v>250000</v>
      </c>
      <c r="AN91" s="33"/>
      <c r="AO91" s="33">
        <v>250000</v>
      </c>
      <c r="AP91" s="67">
        <f t="shared" si="75"/>
        <v>250000</v>
      </c>
      <c r="AQ91" s="34">
        <f t="shared" si="76"/>
        <v>100</v>
      </c>
      <c r="AR91" s="67">
        <f t="shared" si="77"/>
        <v>250000</v>
      </c>
      <c r="AS91" s="34">
        <f t="shared" si="78"/>
        <v>100</v>
      </c>
      <c r="AT91" s="28">
        <f t="shared" si="79"/>
        <v>148.95</v>
      </c>
      <c r="AU91" s="28">
        <f t="shared" si="80"/>
        <v>195.4</v>
      </c>
      <c r="AV91" s="28">
        <f t="shared" si="81"/>
        <v>344.35</v>
      </c>
      <c r="AW91" s="24">
        <f t="shared" si="82"/>
        <v>-10</v>
      </c>
      <c r="AX91" s="24">
        <f t="shared" si="83"/>
        <v>0</v>
      </c>
      <c r="AY91" s="24">
        <f t="shared" si="84"/>
        <v>-10</v>
      </c>
      <c r="AZ91" s="156">
        <f t="shared" si="85"/>
        <v>52272</v>
      </c>
      <c r="BA91" s="35">
        <f t="shared" si="86"/>
        <v>0.209088</v>
      </c>
      <c r="BB91" s="35">
        <f t="shared" si="87"/>
        <v>29.052777599999995</v>
      </c>
      <c r="BC91" s="36">
        <f t="shared" si="88"/>
        <v>40.855795199999996</v>
      </c>
      <c r="BD91" s="36">
        <f t="shared" si="89"/>
        <v>69.90857279999999</v>
      </c>
      <c r="BE91" s="36" t="str">
        <f t="shared" si="90"/>
        <v>yes</v>
      </c>
      <c r="BF91" s="37">
        <f t="shared" si="91"/>
        <v>0.209088</v>
      </c>
      <c r="BG91" s="37">
        <f t="shared" si="92"/>
        <v>31.143657599999994</v>
      </c>
      <c r="BH91" s="36">
        <f t="shared" si="93"/>
        <v>40.855795199999996</v>
      </c>
      <c r="BI91" s="38">
        <f t="shared" si="94"/>
        <v>71.99945279999999</v>
      </c>
      <c r="BJ91" s="1" t="str">
        <f t="shared" si="95"/>
        <v>yes</v>
      </c>
      <c r="BK91" s="37">
        <f t="shared" si="96"/>
        <v>-2.0908799999999985</v>
      </c>
      <c r="BL91" s="37">
        <f t="shared" si="97"/>
        <v>0</v>
      </c>
      <c r="BM91" s="7">
        <f t="shared" si="98"/>
        <v>-2.0908799999999985</v>
      </c>
      <c r="BN91" s="7">
        <f t="shared" si="99"/>
        <v>0</v>
      </c>
    </row>
    <row r="92" spans="2:66" ht="18" customHeight="1">
      <c r="B92" s="4" t="s">
        <v>12</v>
      </c>
      <c r="C92" s="4" t="s">
        <v>95</v>
      </c>
      <c r="D92" s="157" t="s">
        <v>190</v>
      </c>
      <c r="E92" s="158" t="s">
        <v>15</v>
      </c>
      <c r="F92" s="79">
        <f t="shared" si="58"/>
        <v>52272</v>
      </c>
      <c r="G92" s="80">
        <f t="shared" si="59"/>
        <v>40</v>
      </c>
      <c r="H92" s="149">
        <f t="shared" si="60"/>
        <v>4</v>
      </c>
      <c r="I92" s="150">
        <f t="shared" si="61"/>
        <v>67.7549664</v>
      </c>
      <c r="J92" s="83">
        <f t="shared" si="62"/>
        <v>71.99945279999999</v>
      </c>
      <c r="K92" s="84">
        <f t="shared" si="63"/>
        <v>69.90857279999999</v>
      </c>
      <c r="L92" s="151">
        <f t="shared" si="64"/>
        <v>31.143657599999994</v>
      </c>
      <c r="M92" s="152">
        <f t="shared" si="65"/>
        <v>29.052777599999995</v>
      </c>
      <c r="N92" s="188">
        <f t="shared" si="66"/>
        <v>-0.06713662302786172</v>
      </c>
      <c r="O92" s="153">
        <f t="shared" si="67"/>
        <v>40.855795199999996</v>
      </c>
      <c r="P92" s="154">
        <f t="shared" si="68"/>
        <v>40.855795199999996</v>
      </c>
      <c r="Q92" s="176">
        <f t="shared" si="69"/>
        <v>0</v>
      </c>
      <c r="R92" s="100">
        <f t="shared" si="70"/>
        <v>-2.0908799999999985</v>
      </c>
      <c r="S92" s="184">
        <f t="shared" si="71"/>
        <v>-0.02904022070567735</v>
      </c>
      <c r="U92" s="208" t="s">
        <v>95</v>
      </c>
      <c r="V92" s="4" t="s">
        <v>12</v>
      </c>
      <c r="X92" s="155">
        <v>137.15</v>
      </c>
      <c r="Y92" s="39">
        <v>148.95</v>
      </c>
      <c r="Z92" s="155">
        <v>138.95</v>
      </c>
      <c r="AA92" s="155">
        <v>186.9</v>
      </c>
      <c r="AB92" s="155"/>
      <c r="AC92" s="223">
        <v>195.4</v>
      </c>
      <c r="AD92" s="155"/>
      <c r="AE92" s="161">
        <v>195.4</v>
      </c>
      <c r="AF92" s="155"/>
      <c r="AG92" s="32">
        <f t="shared" si="72"/>
        <v>324.05</v>
      </c>
      <c r="AH92" s="32">
        <f t="shared" si="73"/>
        <v>344.35</v>
      </c>
      <c r="AI92" s="32">
        <f t="shared" si="74"/>
        <v>334.35</v>
      </c>
      <c r="AJ92" s="33"/>
      <c r="AK92" s="33">
        <v>250000</v>
      </c>
      <c r="AL92" s="33"/>
      <c r="AM92" s="33">
        <v>250000</v>
      </c>
      <c r="AN92" s="33"/>
      <c r="AO92" s="33">
        <v>250000</v>
      </c>
      <c r="AP92" s="67">
        <f t="shared" si="75"/>
        <v>250000</v>
      </c>
      <c r="AQ92" s="34">
        <f t="shared" si="76"/>
        <v>100</v>
      </c>
      <c r="AR92" s="67">
        <f t="shared" si="77"/>
        <v>250000</v>
      </c>
      <c r="AS92" s="34">
        <f t="shared" si="78"/>
        <v>100</v>
      </c>
      <c r="AT92" s="28">
        <f t="shared" si="79"/>
        <v>148.95</v>
      </c>
      <c r="AU92" s="28">
        <f t="shared" si="80"/>
        <v>195.4</v>
      </c>
      <c r="AV92" s="28">
        <f t="shared" si="81"/>
        <v>344.35</v>
      </c>
      <c r="AW92" s="24">
        <f t="shared" si="82"/>
        <v>-10</v>
      </c>
      <c r="AX92" s="24">
        <f t="shared" si="83"/>
        <v>0</v>
      </c>
      <c r="AY92" s="24">
        <f t="shared" si="84"/>
        <v>-10</v>
      </c>
      <c r="AZ92" s="156">
        <f t="shared" si="85"/>
        <v>52272</v>
      </c>
      <c r="BA92" s="35">
        <f t="shared" si="86"/>
        <v>0.209088</v>
      </c>
      <c r="BB92" s="35">
        <f t="shared" si="87"/>
        <v>29.052777599999995</v>
      </c>
      <c r="BC92" s="36">
        <f t="shared" si="88"/>
        <v>40.855795199999996</v>
      </c>
      <c r="BD92" s="36">
        <f t="shared" si="89"/>
        <v>69.90857279999999</v>
      </c>
      <c r="BE92" s="36" t="str">
        <f t="shared" si="90"/>
        <v>yes</v>
      </c>
      <c r="BF92" s="37">
        <f t="shared" si="91"/>
        <v>0.209088</v>
      </c>
      <c r="BG92" s="37">
        <f t="shared" si="92"/>
        <v>31.143657599999994</v>
      </c>
      <c r="BH92" s="36">
        <f t="shared" si="93"/>
        <v>40.855795199999996</v>
      </c>
      <c r="BI92" s="38">
        <f t="shared" si="94"/>
        <v>71.99945279999999</v>
      </c>
      <c r="BJ92" s="1" t="str">
        <f t="shared" si="95"/>
        <v>yes</v>
      </c>
      <c r="BK92" s="37">
        <f t="shared" si="96"/>
        <v>-2.0908799999999985</v>
      </c>
      <c r="BL92" s="37">
        <f t="shared" si="97"/>
        <v>0</v>
      </c>
      <c r="BM92" s="7">
        <f t="shared" si="98"/>
        <v>-2.0908799999999985</v>
      </c>
      <c r="BN92" s="7">
        <f t="shared" si="99"/>
        <v>0</v>
      </c>
    </row>
    <row r="93" spans="2:66" ht="18" customHeight="1">
      <c r="B93" s="4" t="s">
        <v>12</v>
      </c>
      <c r="C93" s="4" t="s">
        <v>95</v>
      </c>
      <c r="D93" s="157" t="s">
        <v>190</v>
      </c>
      <c r="E93" s="158" t="s">
        <v>79</v>
      </c>
      <c r="F93" s="79">
        <f t="shared" si="58"/>
        <v>52272</v>
      </c>
      <c r="G93" s="80">
        <f t="shared" si="59"/>
        <v>40</v>
      </c>
      <c r="H93" s="149">
        <f t="shared" si="60"/>
        <v>4</v>
      </c>
      <c r="I93" s="150">
        <f t="shared" si="61"/>
        <v>67.7549664</v>
      </c>
      <c r="J93" s="83">
        <f t="shared" si="62"/>
        <v>71.99945279999999</v>
      </c>
      <c r="K93" s="84">
        <f t="shared" si="63"/>
        <v>69.90857279999999</v>
      </c>
      <c r="L93" s="151">
        <f t="shared" si="64"/>
        <v>31.143657599999994</v>
      </c>
      <c r="M93" s="152">
        <f t="shared" si="65"/>
        <v>29.052777599999995</v>
      </c>
      <c r="N93" s="188">
        <f t="shared" si="66"/>
        <v>-0.06713662302786172</v>
      </c>
      <c r="O93" s="153">
        <f t="shared" si="67"/>
        <v>40.855795199999996</v>
      </c>
      <c r="P93" s="154">
        <f t="shared" si="68"/>
        <v>40.855795199999996</v>
      </c>
      <c r="Q93" s="176">
        <f t="shared" si="69"/>
        <v>0</v>
      </c>
      <c r="R93" s="100">
        <f t="shared" si="70"/>
        <v>-2.0908799999999985</v>
      </c>
      <c r="S93" s="184">
        <f t="shared" si="71"/>
        <v>-0.02904022070567735</v>
      </c>
      <c r="U93" s="208" t="s">
        <v>95</v>
      </c>
      <c r="V93" s="4" t="s">
        <v>12</v>
      </c>
      <c r="X93" s="155">
        <v>137.15</v>
      </c>
      <c r="Y93" s="39">
        <v>148.95</v>
      </c>
      <c r="Z93" s="155">
        <v>138.95</v>
      </c>
      <c r="AA93" s="155">
        <v>186.9</v>
      </c>
      <c r="AB93" s="155"/>
      <c r="AC93" s="223">
        <v>195.4</v>
      </c>
      <c r="AD93" s="155"/>
      <c r="AE93" s="161">
        <v>195.4</v>
      </c>
      <c r="AF93" s="155"/>
      <c r="AG93" s="32">
        <f t="shared" si="72"/>
        <v>324.05</v>
      </c>
      <c r="AH93" s="32">
        <f t="shared" si="73"/>
        <v>344.35</v>
      </c>
      <c r="AI93" s="32">
        <f t="shared" si="74"/>
        <v>334.35</v>
      </c>
      <c r="AJ93" s="33"/>
      <c r="AK93" s="33">
        <v>250000</v>
      </c>
      <c r="AL93" s="33"/>
      <c r="AM93" s="33">
        <v>250000</v>
      </c>
      <c r="AN93" s="33"/>
      <c r="AO93" s="33">
        <v>250000</v>
      </c>
      <c r="AP93" s="67">
        <f t="shared" si="75"/>
        <v>250000</v>
      </c>
      <c r="AQ93" s="34">
        <f t="shared" si="76"/>
        <v>100</v>
      </c>
      <c r="AR93" s="67">
        <f t="shared" si="77"/>
        <v>250000</v>
      </c>
      <c r="AS93" s="34">
        <f t="shared" si="78"/>
        <v>100</v>
      </c>
      <c r="AT93" s="28">
        <f t="shared" si="79"/>
        <v>148.95</v>
      </c>
      <c r="AU93" s="28">
        <f t="shared" si="80"/>
        <v>195.4</v>
      </c>
      <c r="AV93" s="28">
        <f t="shared" si="81"/>
        <v>344.35</v>
      </c>
      <c r="AW93" s="24">
        <f t="shared" si="82"/>
        <v>-10</v>
      </c>
      <c r="AX93" s="24">
        <f t="shared" si="83"/>
        <v>0</v>
      </c>
      <c r="AY93" s="24">
        <f t="shared" si="84"/>
        <v>-10</v>
      </c>
      <c r="AZ93" s="156">
        <f t="shared" si="85"/>
        <v>52272</v>
      </c>
      <c r="BA93" s="35">
        <f t="shared" si="86"/>
        <v>0.209088</v>
      </c>
      <c r="BB93" s="35">
        <f t="shared" si="87"/>
        <v>29.052777599999995</v>
      </c>
      <c r="BC93" s="36">
        <f t="shared" si="88"/>
        <v>40.855795199999996</v>
      </c>
      <c r="BD93" s="36">
        <f t="shared" si="89"/>
        <v>69.90857279999999</v>
      </c>
      <c r="BE93" s="36" t="str">
        <f t="shared" si="90"/>
        <v>yes</v>
      </c>
      <c r="BF93" s="37">
        <f t="shared" si="91"/>
        <v>0.209088</v>
      </c>
      <c r="BG93" s="37">
        <f t="shared" si="92"/>
        <v>31.143657599999994</v>
      </c>
      <c r="BH93" s="36">
        <f t="shared" si="93"/>
        <v>40.855795199999996</v>
      </c>
      <c r="BI93" s="38">
        <f t="shared" si="94"/>
        <v>71.99945279999999</v>
      </c>
      <c r="BJ93" s="1" t="str">
        <f t="shared" si="95"/>
        <v>yes</v>
      </c>
      <c r="BK93" s="37">
        <f t="shared" si="96"/>
        <v>-2.0908799999999985</v>
      </c>
      <c r="BL93" s="37">
        <f t="shared" si="97"/>
        <v>0</v>
      </c>
      <c r="BM93" s="7">
        <f t="shared" si="98"/>
        <v>-2.0908799999999985</v>
      </c>
      <c r="BN93" s="7">
        <f t="shared" si="99"/>
        <v>0</v>
      </c>
    </row>
    <row r="94" spans="2:66" ht="18" customHeight="1">
      <c r="B94" s="4" t="s">
        <v>12</v>
      </c>
      <c r="C94" s="29" t="s">
        <v>97</v>
      </c>
      <c r="D94" s="164" t="s">
        <v>190</v>
      </c>
      <c r="E94" s="192" t="s">
        <v>14</v>
      </c>
      <c r="F94" s="79">
        <f t="shared" si="58"/>
        <v>52272</v>
      </c>
      <c r="G94" s="80">
        <f t="shared" si="59"/>
        <v>40</v>
      </c>
      <c r="H94" s="149">
        <f t="shared" si="60"/>
        <v>4</v>
      </c>
      <c r="I94" s="150">
        <f t="shared" si="61"/>
        <v>58.617820800000004</v>
      </c>
      <c r="J94" s="83">
        <f t="shared" si="62"/>
        <v>63.364118399999995</v>
      </c>
      <c r="K94" s="84">
        <f t="shared" si="63"/>
        <v>61.2732384</v>
      </c>
      <c r="L94" s="151">
        <f t="shared" si="64"/>
        <v>31.143657599999994</v>
      </c>
      <c r="M94" s="152">
        <f t="shared" si="65"/>
        <v>29.052777599999995</v>
      </c>
      <c r="N94" s="188">
        <f t="shared" si="66"/>
        <v>-0.06713662302786172</v>
      </c>
      <c r="O94" s="153">
        <f t="shared" si="67"/>
        <v>32.2204608</v>
      </c>
      <c r="P94" s="154">
        <f t="shared" si="68"/>
        <v>32.2204608</v>
      </c>
      <c r="Q94" s="176">
        <f t="shared" si="69"/>
        <v>0</v>
      </c>
      <c r="R94" s="100">
        <f t="shared" si="70"/>
        <v>-2.0908799999999985</v>
      </c>
      <c r="S94" s="184">
        <f t="shared" si="71"/>
        <v>-0.032997855139415916</v>
      </c>
      <c r="U94" s="207" t="s">
        <v>97</v>
      </c>
      <c r="V94" s="4" t="s">
        <v>12</v>
      </c>
      <c r="X94" s="39">
        <v>137.15</v>
      </c>
      <c r="Y94" s="39">
        <v>148.95</v>
      </c>
      <c r="Z94" s="155">
        <v>138.95</v>
      </c>
      <c r="AA94" s="161">
        <v>143.2</v>
      </c>
      <c r="AB94" s="39"/>
      <c r="AC94" s="155">
        <v>154.1</v>
      </c>
      <c r="AD94" s="39"/>
      <c r="AE94" s="155">
        <v>154.1</v>
      </c>
      <c r="AF94" s="39"/>
      <c r="AG94" s="32">
        <f t="shared" si="72"/>
        <v>280.35</v>
      </c>
      <c r="AH94" s="32">
        <f t="shared" si="73"/>
        <v>303.04999999999995</v>
      </c>
      <c r="AI94" s="32">
        <f t="shared" si="74"/>
        <v>293.04999999999995</v>
      </c>
      <c r="AJ94" s="33"/>
      <c r="AK94" s="33">
        <v>250000</v>
      </c>
      <c r="AL94" s="33"/>
      <c r="AM94" s="33">
        <v>250000</v>
      </c>
      <c r="AN94" s="33"/>
      <c r="AO94" s="33">
        <v>250000</v>
      </c>
      <c r="AP94" s="67">
        <f t="shared" si="75"/>
        <v>250000</v>
      </c>
      <c r="AQ94" s="34">
        <f t="shared" si="76"/>
        <v>100</v>
      </c>
      <c r="AR94" s="67">
        <f t="shared" si="77"/>
        <v>250000</v>
      </c>
      <c r="AS94" s="34">
        <f t="shared" si="78"/>
        <v>100</v>
      </c>
      <c r="AT94" s="28">
        <f t="shared" si="79"/>
        <v>148.95</v>
      </c>
      <c r="AU94" s="28">
        <f t="shared" si="80"/>
        <v>154.1</v>
      </c>
      <c r="AV94" s="28">
        <f t="shared" si="81"/>
        <v>303.04999999999995</v>
      </c>
      <c r="AW94" s="24">
        <f t="shared" si="82"/>
        <v>-10</v>
      </c>
      <c r="AX94" s="24">
        <f t="shared" si="83"/>
        <v>0</v>
      </c>
      <c r="AY94" s="24">
        <f t="shared" si="84"/>
        <v>-10</v>
      </c>
      <c r="AZ94" s="156">
        <f t="shared" si="85"/>
        <v>52272</v>
      </c>
      <c r="BA94" s="35">
        <f t="shared" si="86"/>
        <v>0.209088</v>
      </c>
      <c r="BB94" s="35">
        <f t="shared" si="87"/>
        <v>29.052777599999995</v>
      </c>
      <c r="BC94" s="36">
        <f t="shared" si="88"/>
        <v>32.2204608</v>
      </c>
      <c r="BD94" s="36">
        <f t="shared" si="89"/>
        <v>61.2732384</v>
      </c>
      <c r="BE94" s="36" t="str">
        <f t="shared" si="90"/>
        <v>yes</v>
      </c>
      <c r="BF94" s="37">
        <f t="shared" si="91"/>
        <v>0.209088</v>
      </c>
      <c r="BG94" s="37">
        <f t="shared" si="92"/>
        <v>31.143657599999994</v>
      </c>
      <c r="BH94" s="36">
        <f t="shared" si="93"/>
        <v>32.2204608</v>
      </c>
      <c r="BI94" s="38">
        <f t="shared" si="94"/>
        <v>63.364118399999995</v>
      </c>
      <c r="BJ94" s="1" t="str">
        <f t="shared" si="95"/>
        <v>yes</v>
      </c>
      <c r="BK94" s="37">
        <f t="shared" si="96"/>
        <v>-2.0908799999999985</v>
      </c>
      <c r="BL94" s="37">
        <f t="shared" si="97"/>
        <v>0</v>
      </c>
      <c r="BM94" s="7">
        <f t="shared" si="98"/>
        <v>-2.0908799999999985</v>
      </c>
      <c r="BN94" s="7">
        <f t="shared" si="99"/>
        <v>0</v>
      </c>
    </row>
    <row r="95" spans="3:66" ht="18" customHeight="1">
      <c r="C95" s="29"/>
      <c r="D95" s="164" t="s">
        <v>190</v>
      </c>
      <c r="E95" s="192" t="s">
        <v>51</v>
      </c>
      <c r="F95" s="79">
        <f t="shared" si="58"/>
        <v>52272</v>
      </c>
      <c r="G95" s="80">
        <f t="shared" si="59"/>
        <v>40</v>
      </c>
      <c r="H95" s="149">
        <f t="shared" si="60"/>
        <v>4</v>
      </c>
      <c r="I95" s="150">
        <f>IF(AK95="","",IF($F95&gt;0,($F95/$AK95)*AG95,IF($G95&gt;0,(((43560/($G95/12))*$H95)/$AK95)*AG95,0)))</f>
        <v>0</v>
      </c>
      <c r="J95" s="83">
        <f>BI95</f>
        <v>0</v>
      </c>
      <c r="K95" s="84">
        <f>BD95</f>
        <v>34.279977599999995</v>
      </c>
      <c r="L95" s="151">
        <f>BG95</f>
      </c>
      <c r="M95" s="152">
        <f>BB95</f>
        <v>34.279977599999995</v>
      </c>
      <c r="N95" s="188" t="str">
        <f>IF(R95="New","New",(M95/L95)-1)</f>
        <v>New</v>
      </c>
      <c r="O95" s="153">
        <f>IF(AW95="","",BH95)</f>
      </c>
      <c r="P95" s="154">
        <f>IF(BC95="","",BC95)</f>
        <v>0</v>
      </c>
      <c r="Q95" s="176" t="str">
        <f>IF(R95="New","New",IF(AX95="","",(P95/O95)-1))</f>
        <v>New</v>
      </c>
      <c r="R95" s="100" t="str">
        <f>IF(J95="","New",IF(J95=0,"New",K95-J95))</f>
        <v>New</v>
      </c>
      <c r="S95" s="184">
        <f>IF(R95="New","",R95/J95)</f>
      </c>
      <c r="U95" s="207" t="s">
        <v>53</v>
      </c>
      <c r="V95" s="4" t="s">
        <v>12</v>
      </c>
      <c r="X95" s="39"/>
      <c r="Y95" s="39"/>
      <c r="Z95" s="155">
        <v>163.95</v>
      </c>
      <c r="AA95" s="161"/>
      <c r="AB95" s="39"/>
      <c r="AC95" s="155"/>
      <c r="AD95" s="39"/>
      <c r="AE95" s="155"/>
      <c r="AF95" s="39"/>
      <c r="AG95" s="32">
        <f t="shared" si="72"/>
        <v>0</v>
      </c>
      <c r="AH95" s="32">
        <f t="shared" si="73"/>
        <v>0</v>
      </c>
      <c r="AI95" s="32">
        <f t="shared" si="74"/>
        <v>163.95</v>
      </c>
      <c r="AJ95" s="33"/>
      <c r="AK95" s="33">
        <v>250000</v>
      </c>
      <c r="AL95" s="33"/>
      <c r="AM95" s="33">
        <v>250000</v>
      </c>
      <c r="AN95" s="33"/>
      <c r="AO95" s="33">
        <v>250000</v>
      </c>
      <c r="AP95" s="67">
        <f>AK95</f>
        <v>250000</v>
      </c>
      <c r="AQ95" s="34">
        <f>IF(AK95&gt;0,AM95/AK95*100,"Not Avail.")</f>
        <v>100</v>
      </c>
      <c r="AR95" s="67">
        <f>AM95</f>
        <v>250000</v>
      </c>
      <c r="AS95" s="34">
        <f>IF(AM95&gt;0,AO95/AM95*100,"Not Avail.")</f>
        <v>100</v>
      </c>
      <c r="AT95" s="28">
        <f t="shared" si="79"/>
      </c>
      <c r="AU95" s="28">
        <f t="shared" si="80"/>
      </c>
      <c r="AV95" s="28">
        <f>IF(AT95="","",SUM(AT95:AU95))</f>
      </c>
      <c r="AW95" s="24">
        <f t="shared" si="82"/>
      </c>
      <c r="AX95" s="24">
        <f t="shared" si="83"/>
      </c>
      <c r="AY95" s="24" t="str">
        <f>IF(AH95&gt;0,AI95-AV95,"New")</f>
        <v>New</v>
      </c>
      <c r="AZ95" s="156">
        <f>F95</f>
        <v>52272</v>
      </c>
      <c r="BA95" s="35">
        <f t="shared" si="86"/>
        <v>0.209088</v>
      </c>
      <c r="BB95" s="35">
        <f t="shared" si="87"/>
        <v>34.279977599999995</v>
      </c>
      <c r="BC95" s="36">
        <f t="shared" si="88"/>
        <v>0</v>
      </c>
      <c r="BD95" s="36">
        <f>BB95+BC95</f>
        <v>34.279977599999995</v>
      </c>
      <c r="BE95" s="36" t="str">
        <f>IF(BD95=K95,"yes","no")</f>
        <v>yes</v>
      </c>
      <c r="BF95" s="37">
        <f>IF(AM95="","",IF($F95&gt;0,($F95/AM95),IF($G95&gt;0,((((43560/($G95/12))*$H95)/$AM95)),0)))</f>
        <v>0.209088</v>
      </c>
      <c r="BG95" s="37">
        <f t="shared" si="92"/>
      </c>
      <c r="BH95" s="36">
        <f t="shared" si="93"/>
        <v>0</v>
      </c>
      <c r="BI95" s="38">
        <f>SUM(BG95:BH95)</f>
        <v>0</v>
      </c>
      <c r="BJ95" s="1" t="str">
        <f>IF(J95=BI95,"yes","no")</f>
        <v>yes</v>
      </c>
      <c r="BK95" s="37">
        <f>IF(BG95="","",IF(BG95=0,"",BB95-BG95))</f>
      </c>
      <c r="BL95" s="37">
        <f>IF(BH95="","",IF(BH95=0,"",BC95-BH95))</f>
      </c>
      <c r="BM95" s="7">
        <f>IF(BK95="","",BD95-BI95)</f>
      </c>
      <c r="BN95" s="7" t="e">
        <f>R95-BM95</f>
        <v>#VALUE!</v>
      </c>
    </row>
    <row r="96" spans="3:66" ht="18" customHeight="1">
      <c r="C96" s="29"/>
      <c r="D96" s="164" t="s">
        <v>190</v>
      </c>
      <c r="E96" s="192" t="s">
        <v>52</v>
      </c>
      <c r="F96" s="79">
        <f t="shared" si="58"/>
        <v>52272</v>
      </c>
      <c r="G96" s="80">
        <f t="shared" si="59"/>
        <v>40</v>
      </c>
      <c r="H96" s="149">
        <f t="shared" si="60"/>
        <v>4</v>
      </c>
      <c r="I96" s="150">
        <f>IF(AK96="","",IF($F96&gt;0,($F96/$AK96)*AG96,IF($G96&gt;0,(((43560/($G96/12))*$H96)/$AK96)*AG96,0)))</f>
        <v>0</v>
      </c>
      <c r="J96" s="83">
        <f>BI96</f>
        <v>0</v>
      </c>
      <c r="K96" s="84">
        <f>BD96</f>
        <v>34.279977599999995</v>
      </c>
      <c r="L96" s="151">
        <f>BG96</f>
      </c>
      <c r="M96" s="152">
        <f>BB96</f>
        <v>34.279977599999995</v>
      </c>
      <c r="N96" s="188" t="str">
        <f>IF(R96="New","New",(M96/L96)-1)</f>
        <v>New</v>
      </c>
      <c r="O96" s="153">
        <f>IF(AW96="","",BH96)</f>
      </c>
      <c r="P96" s="154">
        <f>IF(BC96="","",BC96)</f>
        <v>0</v>
      </c>
      <c r="Q96" s="176" t="str">
        <f>IF(R96="New","New",IF(AX96="","",(P96/O96)-1))</f>
        <v>New</v>
      </c>
      <c r="R96" s="100" t="str">
        <f>IF(J96="","New",IF(J96=0,"New",K96-J96))</f>
        <v>New</v>
      </c>
      <c r="S96" s="184">
        <f>IF(R96="New","",R96/J96)</f>
      </c>
      <c r="U96" s="207" t="s">
        <v>53</v>
      </c>
      <c r="V96" s="4" t="s">
        <v>12</v>
      </c>
      <c r="X96" s="39"/>
      <c r="Y96" s="39"/>
      <c r="Z96" s="155">
        <v>163.95</v>
      </c>
      <c r="AA96" s="161"/>
      <c r="AB96" s="39"/>
      <c r="AC96" s="155"/>
      <c r="AD96" s="39"/>
      <c r="AE96" s="155"/>
      <c r="AF96" s="39"/>
      <c r="AG96" s="32">
        <f t="shared" si="72"/>
        <v>0</v>
      </c>
      <c r="AH96" s="32">
        <f t="shared" si="73"/>
        <v>0</v>
      </c>
      <c r="AI96" s="32">
        <f t="shared" si="74"/>
        <v>163.95</v>
      </c>
      <c r="AJ96" s="33"/>
      <c r="AK96" s="33">
        <v>250000</v>
      </c>
      <c r="AL96" s="33"/>
      <c r="AM96" s="33">
        <v>250000</v>
      </c>
      <c r="AN96" s="33"/>
      <c r="AO96" s="33">
        <v>250000</v>
      </c>
      <c r="AP96" s="67">
        <f>AK96</f>
        <v>250000</v>
      </c>
      <c r="AQ96" s="34">
        <f>IF(AK96&gt;0,AM96/AK96*100,"Not Avail.")</f>
        <v>100</v>
      </c>
      <c r="AR96" s="67">
        <f>AM96</f>
        <v>250000</v>
      </c>
      <c r="AS96" s="34">
        <f>IF(AM96&gt;0,AO96/AM96*100,"Not Avail.")</f>
        <v>100</v>
      </c>
      <c r="AT96" s="28">
        <f t="shared" si="79"/>
      </c>
      <c r="AU96" s="28">
        <f t="shared" si="80"/>
      </c>
      <c r="AV96" s="28">
        <f>IF(AT96="","",SUM(AT96:AU96))</f>
      </c>
      <c r="AW96" s="24">
        <f t="shared" si="82"/>
      </c>
      <c r="AX96" s="24">
        <f t="shared" si="83"/>
      </c>
      <c r="AY96" s="24" t="str">
        <f>IF(AH96&gt;0,AI96-AV96,"New")</f>
        <v>New</v>
      </c>
      <c r="AZ96" s="156">
        <f>F96</f>
        <v>52272</v>
      </c>
      <c r="BA96" s="35">
        <f t="shared" si="86"/>
        <v>0.209088</v>
      </c>
      <c r="BB96" s="35">
        <f t="shared" si="87"/>
        <v>34.279977599999995</v>
      </c>
      <c r="BC96" s="36">
        <f t="shared" si="88"/>
        <v>0</v>
      </c>
      <c r="BD96" s="36">
        <f>BB96+BC96</f>
        <v>34.279977599999995</v>
      </c>
      <c r="BE96" s="36" t="str">
        <f>IF(BD96=K96,"yes","no")</f>
        <v>yes</v>
      </c>
      <c r="BF96" s="37">
        <f>IF(AM96="","",IF($F96&gt;0,($F96/AM96),IF($G96&gt;0,((((43560/($G96/12))*$H96)/$AM96)),0)))</f>
        <v>0.209088</v>
      </c>
      <c r="BG96" s="37">
        <f t="shared" si="92"/>
      </c>
      <c r="BH96" s="36">
        <f t="shared" si="93"/>
        <v>0</v>
      </c>
      <c r="BI96" s="38">
        <f>SUM(BG96:BH96)</f>
        <v>0</v>
      </c>
      <c r="BJ96" s="1" t="str">
        <f>IF(J96=BI96,"yes","no")</f>
        <v>yes</v>
      </c>
      <c r="BK96" s="37">
        <f>IF(BG96="","",IF(BG96=0,"",BB96-BG96))</f>
      </c>
      <c r="BL96" s="37">
        <f>IF(BH96="","",IF(BH96=0,"",BC96-BH96))</f>
      </c>
      <c r="BM96" s="7">
        <f>IF(BK96="","",BD96-BI96)</f>
      </c>
      <c r="BN96" s="7" t="e">
        <f>R96-BM96</f>
        <v>#VALUE!</v>
      </c>
    </row>
    <row r="97" spans="2:66" ht="18" customHeight="1">
      <c r="B97" s="4" t="s">
        <v>12</v>
      </c>
      <c r="C97" s="4" t="s">
        <v>130</v>
      </c>
      <c r="D97" s="205" t="s">
        <v>70</v>
      </c>
      <c r="E97" s="192" t="s">
        <v>129</v>
      </c>
      <c r="F97" s="79">
        <f t="shared" si="58"/>
        <v>52272</v>
      </c>
      <c r="G97" s="80">
        <f t="shared" si="59"/>
        <v>40</v>
      </c>
      <c r="H97" s="149">
        <f t="shared" si="60"/>
        <v>4</v>
      </c>
      <c r="I97" s="150">
        <f t="shared" si="61"/>
        <v>58.596911999999996</v>
      </c>
      <c r="J97" s="83">
        <f t="shared" si="62"/>
        <v>55.76472000000001</v>
      </c>
      <c r="K97" s="84">
        <f t="shared" si="63"/>
        <v>58.14072</v>
      </c>
      <c r="L97" s="151">
        <f t="shared" si="64"/>
        <v>38.253600000000006</v>
      </c>
      <c r="M97" s="152">
        <f t="shared" si="65"/>
        <v>40.6296</v>
      </c>
      <c r="N97" s="188">
        <f t="shared" si="66"/>
        <v>0.06211180124223592</v>
      </c>
      <c r="O97" s="153">
        <f t="shared" si="67"/>
        <v>17.511120000000002</v>
      </c>
      <c r="P97" s="154">
        <f t="shared" si="68"/>
        <v>17.511120000000002</v>
      </c>
      <c r="Q97" s="176">
        <f t="shared" si="69"/>
        <v>0</v>
      </c>
      <c r="R97" s="100">
        <f t="shared" si="70"/>
        <v>2.3759999999999906</v>
      </c>
      <c r="S97" s="184">
        <f t="shared" si="71"/>
        <v>0.04260758414997852</v>
      </c>
      <c r="U97" s="208" t="s">
        <v>130</v>
      </c>
      <c r="V97" s="4" t="s">
        <v>12</v>
      </c>
      <c r="X97" s="32">
        <v>158</v>
      </c>
      <c r="Y97" s="32">
        <v>161</v>
      </c>
      <c r="Z97" s="32">
        <v>171</v>
      </c>
      <c r="AA97" s="32">
        <v>66.2</v>
      </c>
      <c r="AB97" s="32"/>
      <c r="AC97" s="32">
        <v>73.7</v>
      </c>
      <c r="AD97" s="32"/>
      <c r="AE97" s="32">
        <v>73.7</v>
      </c>
      <c r="AF97" s="32"/>
      <c r="AG97" s="32">
        <f t="shared" si="72"/>
        <v>224.2</v>
      </c>
      <c r="AH97" s="32">
        <f t="shared" si="73"/>
        <v>234.7</v>
      </c>
      <c r="AI97" s="32">
        <f t="shared" si="74"/>
        <v>244.7</v>
      </c>
      <c r="AJ97" s="26"/>
      <c r="AK97" s="33">
        <v>200000</v>
      </c>
      <c r="AL97" s="26"/>
      <c r="AM97" s="33">
        <v>220000</v>
      </c>
      <c r="AN97" s="26"/>
      <c r="AO97" s="33">
        <v>220000</v>
      </c>
      <c r="AP97" s="67">
        <f t="shared" si="75"/>
        <v>200000</v>
      </c>
      <c r="AQ97" s="34">
        <f t="shared" si="76"/>
        <v>110.00000000000001</v>
      </c>
      <c r="AR97" s="67">
        <f t="shared" si="77"/>
        <v>220000</v>
      </c>
      <c r="AS97" s="34">
        <f t="shared" si="78"/>
        <v>100</v>
      </c>
      <c r="AT97" s="28">
        <f t="shared" si="79"/>
        <v>161</v>
      </c>
      <c r="AU97" s="28">
        <f t="shared" si="80"/>
        <v>73.7</v>
      </c>
      <c r="AV97" s="28">
        <f t="shared" si="81"/>
        <v>234.7</v>
      </c>
      <c r="AW97" s="24">
        <f t="shared" si="82"/>
        <v>10</v>
      </c>
      <c r="AX97" s="24">
        <f t="shared" si="83"/>
        <v>0</v>
      </c>
      <c r="AY97" s="24">
        <f t="shared" si="84"/>
        <v>10</v>
      </c>
      <c r="AZ97" s="156">
        <f t="shared" si="85"/>
        <v>52272</v>
      </c>
      <c r="BA97" s="35">
        <f t="shared" si="86"/>
        <v>0.2376</v>
      </c>
      <c r="BB97" s="35">
        <f t="shared" si="87"/>
        <v>40.6296</v>
      </c>
      <c r="BC97" s="36">
        <f t="shared" si="88"/>
        <v>17.511120000000002</v>
      </c>
      <c r="BD97" s="36">
        <f t="shared" si="89"/>
        <v>58.14072</v>
      </c>
      <c r="BE97" s="36" t="str">
        <f t="shared" si="90"/>
        <v>yes</v>
      </c>
      <c r="BF97" s="37">
        <f t="shared" si="91"/>
        <v>0.2376</v>
      </c>
      <c r="BG97" s="37">
        <f t="shared" si="92"/>
        <v>38.253600000000006</v>
      </c>
      <c r="BH97" s="36">
        <f t="shared" si="93"/>
        <v>17.511120000000002</v>
      </c>
      <c r="BI97" s="38">
        <f t="shared" si="94"/>
        <v>55.76472000000001</v>
      </c>
      <c r="BJ97" s="1" t="str">
        <f t="shared" si="95"/>
        <v>yes</v>
      </c>
      <c r="BK97" s="37">
        <f t="shared" si="96"/>
        <v>2.3759999999999977</v>
      </c>
      <c r="BL97" s="37">
        <f t="shared" si="97"/>
        <v>0</v>
      </c>
      <c r="BM97" s="7">
        <f t="shared" si="98"/>
        <v>2.3759999999999906</v>
      </c>
      <c r="BN97" s="7">
        <f t="shared" si="99"/>
        <v>0</v>
      </c>
    </row>
    <row r="98" spans="2:70" ht="18" customHeight="1">
      <c r="B98" s="4" t="s">
        <v>12</v>
      </c>
      <c r="C98" s="4" t="s">
        <v>95</v>
      </c>
      <c r="D98" s="157" t="s">
        <v>157</v>
      </c>
      <c r="E98" s="158" t="s">
        <v>177</v>
      </c>
      <c r="F98" s="79">
        <f t="shared" si="58"/>
        <v>52272</v>
      </c>
      <c r="G98" s="80">
        <f t="shared" si="59"/>
        <v>40</v>
      </c>
      <c r="H98" s="149">
        <f t="shared" si="60"/>
        <v>4</v>
      </c>
      <c r="I98" s="150">
        <f t="shared" si="61"/>
        <v>76.4478</v>
      </c>
      <c r="J98" s="83">
        <f t="shared" si="62"/>
        <v>73.15704</v>
      </c>
      <c r="K98" s="84">
        <f t="shared" si="63"/>
        <v>74.34504000000001</v>
      </c>
      <c r="L98" s="151">
        <f t="shared" si="64"/>
        <v>32.3136</v>
      </c>
      <c r="M98" s="152">
        <f t="shared" si="65"/>
        <v>33.5016</v>
      </c>
      <c r="N98" s="188">
        <f t="shared" si="66"/>
        <v>0.03676470588235303</v>
      </c>
      <c r="O98" s="153">
        <f t="shared" si="67"/>
        <v>40.84344</v>
      </c>
      <c r="P98" s="154">
        <f t="shared" si="68"/>
        <v>40.84344</v>
      </c>
      <c r="Q98" s="176">
        <f t="shared" si="69"/>
        <v>0</v>
      </c>
      <c r="R98" s="100">
        <f t="shared" si="70"/>
        <v>1.1880000000000166</v>
      </c>
      <c r="S98" s="184">
        <f t="shared" si="71"/>
        <v>0.016239038648912213</v>
      </c>
      <c r="U98" s="208" t="s">
        <v>95</v>
      </c>
      <c r="V98" s="4" t="s">
        <v>12</v>
      </c>
      <c r="X98" s="155">
        <v>128</v>
      </c>
      <c r="Y98" s="155">
        <v>136</v>
      </c>
      <c r="Z98" s="155">
        <v>141</v>
      </c>
      <c r="AA98" s="155">
        <v>164.5</v>
      </c>
      <c r="AB98" s="155"/>
      <c r="AC98" s="155">
        <v>171.9</v>
      </c>
      <c r="AD98" s="155"/>
      <c r="AE98" s="155">
        <v>171.9</v>
      </c>
      <c r="AF98" s="155"/>
      <c r="AG98" s="32">
        <f t="shared" si="72"/>
        <v>292.5</v>
      </c>
      <c r="AH98" s="32">
        <f t="shared" si="73"/>
        <v>307.9</v>
      </c>
      <c r="AI98" s="32">
        <f t="shared" si="74"/>
        <v>312.9</v>
      </c>
      <c r="AJ98" s="26"/>
      <c r="AK98" s="33">
        <v>200000</v>
      </c>
      <c r="AL98" s="26"/>
      <c r="AM98" s="33">
        <v>220000</v>
      </c>
      <c r="AN98" s="26"/>
      <c r="AO98" s="33">
        <v>220000</v>
      </c>
      <c r="AP98" s="67">
        <f t="shared" si="75"/>
        <v>200000</v>
      </c>
      <c r="AQ98" s="34">
        <f t="shared" si="76"/>
        <v>110.00000000000001</v>
      </c>
      <c r="AR98" s="67">
        <f t="shared" si="77"/>
        <v>220000</v>
      </c>
      <c r="AS98" s="34">
        <f t="shared" si="78"/>
        <v>100</v>
      </c>
      <c r="AT98" s="28">
        <f t="shared" si="79"/>
        <v>136</v>
      </c>
      <c r="AU98" s="28">
        <f t="shared" si="80"/>
        <v>171.9</v>
      </c>
      <c r="AV98" s="28">
        <f t="shared" si="81"/>
        <v>307.9</v>
      </c>
      <c r="AW98" s="24">
        <f t="shared" si="82"/>
        <v>5</v>
      </c>
      <c r="AX98" s="24">
        <f t="shared" si="83"/>
        <v>0</v>
      </c>
      <c r="AY98" s="24">
        <f t="shared" si="84"/>
        <v>5</v>
      </c>
      <c r="AZ98" s="156">
        <f t="shared" si="85"/>
        <v>52272</v>
      </c>
      <c r="BA98" s="35">
        <f t="shared" si="86"/>
        <v>0.2376</v>
      </c>
      <c r="BB98" s="35">
        <f t="shared" si="87"/>
        <v>33.5016</v>
      </c>
      <c r="BC98" s="36">
        <f t="shared" si="88"/>
        <v>40.84344</v>
      </c>
      <c r="BD98" s="36">
        <f t="shared" si="89"/>
        <v>74.34504000000001</v>
      </c>
      <c r="BE98" s="36" t="str">
        <f t="shared" si="90"/>
        <v>yes</v>
      </c>
      <c r="BF98" s="37">
        <f t="shared" si="91"/>
        <v>0.2376</v>
      </c>
      <c r="BG98" s="37">
        <f t="shared" si="92"/>
        <v>32.3136</v>
      </c>
      <c r="BH98" s="36">
        <f t="shared" si="93"/>
        <v>40.84344</v>
      </c>
      <c r="BI98" s="38">
        <f t="shared" si="94"/>
        <v>73.15704</v>
      </c>
      <c r="BJ98" s="1" t="str">
        <f t="shared" si="95"/>
        <v>yes</v>
      </c>
      <c r="BK98" s="37">
        <f t="shared" si="96"/>
        <v>1.1880000000000024</v>
      </c>
      <c r="BL98" s="37">
        <f t="shared" si="97"/>
        <v>0</v>
      </c>
      <c r="BM98" s="7">
        <f t="shared" si="98"/>
        <v>1.1880000000000166</v>
      </c>
      <c r="BN98" s="7">
        <f t="shared" si="99"/>
        <v>0</v>
      </c>
      <c r="BO98" s="7"/>
      <c r="BP98" s="7"/>
      <c r="BR98" s="7"/>
    </row>
    <row r="99" spans="4:70" ht="18" customHeight="1">
      <c r="D99" s="157" t="s">
        <v>157</v>
      </c>
      <c r="E99" s="158" t="s">
        <v>100</v>
      </c>
      <c r="F99" s="79">
        <f t="shared" si="58"/>
        <v>52272</v>
      </c>
      <c r="G99" s="80">
        <f t="shared" si="59"/>
        <v>40</v>
      </c>
      <c r="H99" s="149">
        <f t="shared" si="60"/>
        <v>4</v>
      </c>
      <c r="I99" s="150">
        <f t="shared" si="61"/>
      </c>
      <c r="J99" s="83">
        <f t="shared" si="62"/>
        <v>55.76472000000001</v>
      </c>
      <c r="K99" s="84">
        <f t="shared" si="63"/>
        <v>59.328720000000004</v>
      </c>
      <c r="L99" s="151">
        <f t="shared" si="64"/>
        <v>38.253600000000006</v>
      </c>
      <c r="M99" s="152">
        <f t="shared" si="65"/>
        <v>41.817600000000006</v>
      </c>
      <c r="N99" s="188">
        <f t="shared" si="66"/>
        <v>0.0931677018633541</v>
      </c>
      <c r="O99" s="153">
        <f t="shared" si="67"/>
        <v>17.511120000000002</v>
      </c>
      <c r="P99" s="154">
        <f t="shared" si="68"/>
        <v>17.511120000000002</v>
      </c>
      <c r="Q99" s="176">
        <f t="shared" si="69"/>
        <v>0</v>
      </c>
      <c r="R99" s="100">
        <f t="shared" si="70"/>
        <v>3.563999999999993</v>
      </c>
      <c r="S99" s="184">
        <f t="shared" si="71"/>
        <v>0.06391137622496791</v>
      </c>
      <c r="U99" s="208" t="s">
        <v>105</v>
      </c>
      <c r="V99" s="4" t="s">
        <v>12</v>
      </c>
      <c r="X99" s="155"/>
      <c r="Y99" s="155">
        <v>161</v>
      </c>
      <c r="Z99" s="155">
        <v>176</v>
      </c>
      <c r="AA99" s="155"/>
      <c r="AB99" s="155"/>
      <c r="AC99" s="155">
        <v>73.7</v>
      </c>
      <c r="AD99" s="155"/>
      <c r="AE99" s="155">
        <v>73.7</v>
      </c>
      <c r="AF99" s="155"/>
      <c r="AG99" s="32">
        <f t="shared" si="72"/>
        <v>0</v>
      </c>
      <c r="AH99" s="32">
        <f t="shared" si="73"/>
        <v>234.7</v>
      </c>
      <c r="AI99" s="32">
        <f t="shared" si="74"/>
        <v>249.7</v>
      </c>
      <c r="AJ99" s="26"/>
      <c r="AK99" s="33"/>
      <c r="AL99" s="26"/>
      <c r="AM99" s="33">
        <v>220000</v>
      </c>
      <c r="AN99" s="26"/>
      <c r="AO99" s="33">
        <v>220000</v>
      </c>
      <c r="AP99" s="67">
        <f t="shared" si="75"/>
        <v>0</v>
      </c>
      <c r="AQ99" s="34" t="str">
        <f t="shared" si="76"/>
        <v>Not Avail.</v>
      </c>
      <c r="AR99" s="67">
        <f t="shared" si="77"/>
        <v>220000</v>
      </c>
      <c r="AS99" s="34">
        <f t="shared" si="78"/>
        <v>100</v>
      </c>
      <c r="AT99" s="28">
        <f t="shared" si="79"/>
        <v>161</v>
      </c>
      <c r="AU99" s="28">
        <f t="shared" si="80"/>
        <v>73.7</v>
      </c>
      <c r="AV99" s="28">
        <f t="shared" si="81"/>
        <v>234.7</v>
      </c>
      <c r="AW99" s="24">
        <f t="shared" si="82"/>
        <v>15</v>
      </c>
      <c r="AX99" s="24">
        <f t="shared" si="83"/>
        <v>0</v>
      </c>
      <c r="AY99" s="24">
        <f t="shared" si="84"/>
        <v>15</v>
      </c>
      <c r="AZ99" s="156">
        <f t="shared" si="85"/>
        <v>52272</v>
      </c>
      <c r="BA99" s="35">
        <f t="shared" si="86"/>
        <v>0.2376</v>
      </c>
      <c r="BB99" s="35">
        <f t="shared" si="87"/>
        <v>41.817600000000006</v>
      </c>
      <c r="BC99" s="36">
        <f t="shared" si="88"/>
        <v>17.511120000000002</v>
      </c>
      <c r="BD99" s="36">
        <f t="shared" si="89"/>
        <v>59.328720000000004</v>
      </c>
      <c r="BE99" s="36" t="str">
        <f t="shared" si="90"/>
        <v>yes</v>
      </c>
      <c r="BF99" s="37">
        <f t="shared" si="91"/>
        <v>0.2376</v>
      </c>
      <c r="BG99" s="37">
        <f t="shared" si="92"/>
        <v>38.253600000000006</v>
      </c>
      <c r="BH99" s="36">
        <f t="shared" si="93"/>
        <v>17.511120000000002</v>
      </c>
      <c r="BI99" s="38">
        <f t="shared" si="94"/>
        <v>55.76472000000001</v>
      </c>
      <c r="BJ99" s="1" t="str">
        <f t="shared" si="95"/>
        <v>yes</v>
      </c>
      <c r="BK99" s="37">
        <f t="shared" si="96"/>
        <v>3.564</v>
      </c>
      <c r="BL99" s="37">
        <f t="shared" si="97"/>
        <v>0</v>
      </c>
      <c r="BM99" s="7">
        <f t="shared" si="98"/>
        <v>3.563999999999993</v>
      </c>
      <c r="BN99" s="7">
        <f t="shared" si="99"/>
        <v>0</v>
      </c>
      <c r="BO99" s="7"/>
      <c r="BP99" s="7"/>
      <c r="BR99" s="7"/>
    </row>
    <row r="100" spans="2:66" ht="18" customHeight="1">
      <c r="B100" s="4" t="s">
        <v>12</v>
      </c>
      <c r="C100" s="4" t="s">
        <v>241</v>
      </c>
      <c r="D100" s="157" t="s">
        <v>157</v>
      </c>
      <c r="E100" s="158" t="s">
        <v>99</v>
      </c>
      <c r="F100" s="79">
        <f aca="true" t="shared" si="100" ref="F100:F134">IF($J$11&gt;0,$J$11,$M$11)</f>
        <v>52272</v>
      </c>
      <c r="G100" s="80">
        <f aca="true" t="shared" si="101" ref="G100:G134">$K$11</f>
        <v>40</v>
      </c>
      <c r="H100" s="149">
        <f aca="true" t="shared" si="102" ref="H100:H134">$L$11</f>
        <v>4</v>
      </c>
      <c r="I100" s="150">
        <f aca="true" t="shared" si="103" ref="I100:I134">IF(AK100="","",IF($F100&gt;0,($F100/$AK100)*AG100,IF($G100&gt;0,(((43560/($G100/12))*$H100)/$AK100)*AG100,0)))</f>
        <v>58.596911999999996</v>
      </c>
      <c r="J100" s="83">
        <f aca="true" t="shared" si="104" ref="J100:J134">BI100</f>
        <v>56.95272</v>
      </c>
      <c r="K100" s="84">
        <f aca="true" t="shared" si="105" ref="K100:K134">BD100</f>
        <v>59.328720000000004</v>
      </c>
      <c r="L100" s="151">
        <f aca="true" t="shared" si="106" ref="L100:L134">BG100</f>
        <v>39.4416</v>
      </c>
      <c r="M100" s="152">
        <f aca="true" t="shared" si="107" ref="M100:M134">BB100</f>
        <v>41.817600000000006</v>
      </c>
      <c r="N100" s="188">
        <f aca="true" t="shared" si="108" ref="N100:N134">IF(R100="New","New",(M100/L100)-1)</f>
        <v>0.06024096385542177</v>
      </c>
      <c r="O100" s="153">
        <f aca="true" t="shared" si="109" ref="O100:O134">IF(AW100="","",BH100)</f>
        <v>17.511120000000002</v>
      </c>
      <c r="P100" s="154">
        <f aca="true" t="shared" si="110" ref="P100:P134">IF(BC100="","",BC100)</f>
        <v>17.511120000000002</v>
      </c>
      <c r="Q100" s="176">
        <f aca="true" t="shared" si="111" ref="Q100:Q134">IF(R100="New","New",IF(AX100="","",(P100/O100)-1))</f>
        <v>0</v>
      </c>
      <c r="R100" s="100">
        <f aca="true" t="shared" si="112" ref="R100:R134">IF(J100="","New",IF(J100=0,"New",K100-J100))</f>
        <v>2.3760000000000048</v>
      </c>
      <c r="S100" s="184">
        <f aca="true" t="shared" si="113" ref="S100:S134">IF(R100="New","",R100/J100)</f>
        <v>0.041718815185648815</v>
      </c>
      <c r="U100" s="208" t="s">
        <v>242</v>
      </c>
      <c r="V100" s="4" t="s">
        <v>12</v>
      </c>
      <c r="X100" s="32">
        <v>158</v>
      </c>
      <c r="Y100" s="32">
        <v>166</v>
      </c>
      <c r="Z100" s="32">
        <v>176</v>
      </c>
      <c r="AA100" s="32">
        <v>66.2</v>
      </c>
      <c r="AB100" s="32"/>
      <c r="AC100" s="32">
        <v>73.7</v>
      </c>
      <c r="AD100" s="32"/>
      <c r="AE100" s="32">
        <v>73.7</v>
      </c>
      <c r="AF100" s="32"/>
      <c r="AG100" s="32">
        <f aca="true" t="shared" si="114" ref="AG100:AG131">X100+(AA100+AB100)</f>
        <v>224.2</v>
      </c>
      <c r="AH100" s="32">
        <f aca="true" t="shared" si="115" ref="AH100:AH131">Y100+(AC100+AD100)</f>
        <v>239.7</v>
      </c>
      <c r="AI100" s="32">
        <f aca="true" t="shared" si="116" ref="AI100:AI131">Z100+(AE100+AF100)</f>
        <v>249.7</v>
      </c>
      <c r="AJ100" s="26"/>
      <c r="AK100" s="33">
        <v>200000</v>
      </c>
      <c r="AL100" s="26"/>
      <c r="AM100" s="33">
        <v>220000</v>
      </c>
      <c r="AN100" s="26"/>
      <c r="AO100" s="33">
        <v>220000</v>
      </c>
      <c r="AP100" s="67">
        <f aca="true" t="shared" si="117" ref="AP100:AP134">AK100</f>
        <v>200000</v>
      </c>
      <c r="AQ100" s="34">
        <f aca="true" t="shared" si="118" ref="AQ100:AQ134">IF(AK100&gt;0,AM100/AK100*100,"Not Avail.")</f>
        <v>110.00000000000001</v>
      </c>
      <c r="AR100" s="67">
        <f aca="true" t="shared" si="119" ref="AR100:AR134">AM100</f>
        <v>220000</v>
      </c>
      <c r="AS100" s="34">
        <f aca="true" t="shared" si="120" ref="AS100:AS134">IF(AM100&gt;0,AO100/AM100*100,"Not Avail.")</f>
        <v>100</v>
      </c>
      <c r="AT100" s="28">
        <f aca="true" t="shared" si="121" ref="AT100:AT131">IF(Y100="","",Y100/AS100*100)</f>
        <v>166</v>
      </c>
      <c r="AU100" s="28">
        <f aca="true" t="shared" si="122" ref="AU100:AU131">IF(AC100="","",((AC100+AD100)/AS100*100))</f>
        <v>73.7</v>
      </c>
      <c r="AV100" s="28">
        <f aca="true" t="shared" si="123" ref="AV100:AV134">IF(AT100="","",SUM(AT100:AU100))</f>
        <v>239.7</v>
      </c>
      <c r="AW100" s="24">
        <f aca="true" t="shared" si="124" ref="AW100:AW131">IF(AT100="","",Z100-AT100)</f>
        <v>10</v>
      </c>
      <c r="AX100" s="24">
        <f aca="true" t="shared" si="125" ref="AX100:AX131">IF(AU100="","",(AE100+AF100)-AU100)</f>
        <v>0</v>
      </c>
      <c r="AY100" s="24">
        <f aca="true" t="shared" si="126" ref="AY100:AY134">IF(AH100&gt;0,AI100-AV100,"New")</f>
        <v>10</v>
      </c>
      <c r="AZ100" s="156">
        <f aca="true" t="shared" si="127" ref="AZ100:AZ134">F100</f>
        <v>52272</v>
      </c>
      <c r="BA100" s="35">
        <f aca="true" t="shared" si="128" ref="BA100:BA134">IF($F100&gt;0,($F100/$AO100),IF($G100&gt;0,(((43560/($G100/12))*$H100)/$AO100),0))</f>
        <v>0.2376</v>
      </c>
      <c r="BB100" s="35">
        <f aca="true" t="shared" si="129" ref="BB100:BB131">Z100/(1/BA100)</f>
        <v>41.817600000000006</v>
      </c>
      <c r="BC100" s="36">
        <f aca="true" t="shared" si="130" ref="BC100:BC131">((AE100+AF100)/(1/BA100))</f>
        <v>17.511120000000002</v>
      </c>
      <c r="BD100" s="36">
        <f aca="true" t="shared" si="131" ref="BD100:BD134">BB100+BC100</f>
        <v>59.328720000000004</v>
      </c>
      <c r="BE100" s="36" t="str">
        <f aca="true" t="shared" si="132" ref="BE100:BE134">IF(BD100=K100,"yes","no")</f>
        <v>yes</v>
      </c>
      <c r="BF100" s="37">
        <f aca="true" t="shared" si="133" ref="BF100:BF134">IF(AM100="","",IF($F100&gt;0,($F100/AM100),IF($G100&gt;0,((((43560/($G100/12))*$H100)/$AM100)),0)))</f>
        <v>0.2376</v>
      </c>
      <c r="BG100" s="37">
        <f aca="true" t="shared" si="134" ref="BG100:BG131">IF(Y100="","",Y100/(1/BF100))</f>
        <v>39.4416</v>
      </c>
      <c r="BH100" s="36">
        <f aca="true" t="shared" si="135" ref="BH100:BH131">((AC100+AD100)/(1/BF100))</f>
        <v>17.511120000000002</v>
      </c>
      <c r="BI100" s="38">
        <f aca="true" t="shared" si="136" ref="BI100:BI134">SUM(BG100:BH100)</f>
        <v>56.95272</v>
      </c>
      <c r="BJ100" s="1" t="str">
        <f aca="true" t="shared" si="137" ref="BJ100:BJ134">IF(J100=BI100,"yes","no")</f>
        <v>yes</v>
      </c>
      <c r="BK100" s="37">
        <f aca="true" t="shared" si="138" ref="BK100:BK127">IF(BG100="","",IF(BG100=0,"",BB100-BG100))</f>
        <v>2.3760000000000048</v>
      </c>
      <c r="BL100" s="37">
        <f aca="true" t="shared" si="139" ref="BL100:BL134">IF(BH100="","",IF(BH100=0,"",BC100-BH100))</f>
        <v>0</v>
      </c>
      <c r="BM100" s="7">
        <f aca="true" t="shared" si="140" ref="BM100:BM134">IF(BK100="","",BD100-BI100)</f>
        <v>2.3760000000000048</v>
      </c>
      <c r="BN100" s="7">
        <f aca="true" t="shared" si="141" ref="BN100:BN134">R100-BM100</f>
        <v>0</v>
      </c>
    </row>
    <row r="101" spans="2:70" ht="18" customHeight="1">
      <c r="B101" s="4" t="s">
        <v>12</v>
      </c>
      <c r="C101" s="4" t="s">
        <v>95</v>
      </c>
      <c r="D101" s="157" t="s">
        <v>157</v>
      </c>
      <c r="E101" s="158" t="s">
        <v>170</v>
      </c>
      <c r="F101" s="79">
        <f t="shared" si="100"/>
        <v>52272</v>
      </c>
      <c r="G101" s="80">
        <f t="shared" si="101"/>
        <v>40</v>
      </c>
      <c r="H101" s="149">
        <f t="shared" si="102"/>
        <v>4</v>
      </c>
      <c r="I101" s="150">
        <f t="shared" si="103"/>
        <v>76.4478</v>
      </c>
      <c r="J101" s="83">
        <f t="shared" si="104"/>
        <v>71.96904</v>
      </c>
      <c r="K101" s="84">
        <f t="shared" si="105"/>
        <v>68.16744</v>
      </c>
      <c r="L101" s="151">
        <f t="shared" si="106"/>
        <v>31.125600000000002</v>
      </c>
      <c r="M101" s="152">
        <f t="shared" si="107"/>
        <v>27.324</v>
      </c>
      <c r="N101" s="188">
        <f t="shared" si="108"/>
        <v>-0.12213740458015265</v>
      </c>
      <c r="O101" s="153">
        <f t="shared" si="109"/>
        <v>40.84344</v>
      </c>
      <c r="P101" s="154">
        <f t="shared" si="110"/>
        <v>40.84344</v>
      </c>
      <c r="Q101" s="176">
        <f t="shared" si="111"/>
        <v>0</v>
      </c>
      <c r="R101" s="100">
        <f t="shared" si="112"/>
        <v>-3.8016000000000076</v>
      </c>
      <c r="S101" s="184">
        <f t="shared" si="113"/>
        <v>-0.052822713766919875</v>
      </c>
      <c r="U101" s="208" t="s">
        <v>95</v>
      </c>
      <c r="V101" s="4" t="s">
        <v>12</v>
      </c>
      <c r="X101" s="155">
        <v>128</v>
      </c>
      <c r="Y101" s="155">
        <v>131</v>
      </c>
      <c r="Z101" s="155">
        <v>115</v>
      </c>
      <c r="AA101" s="155">
        <v>164.5</v>
      </c>
      <c r="AB101" s="155"/>
      <c r="AC101" s="155">
        <v>171.9</v>
      </c>
      <c r="AD101" s="155"/>
      <c r="AE101" s="155">
        <v>171.9</v>
      </c>
      <c r="AF101" s="155"/>
      <c r="AG101" s="32">
        <f t="shared" si="114"/>
        <v>292.5</v>
      </c>
      <c r="AH101" s="32">
        <f t="shared" si="115"/>
        <v>302.9</v>
      </c>
      <c r="AI101" s="32">
        <f t="shared" si="116"/>
        <v>286.9</v>
      </c>
      <c r="AJ101" s="26"/>
      <c r="AK101" s="33">
        <v>200000</v>
      </c>
      <c r="AL101" s="26"/>
      <c r="AM101" s="33">
        <v>220000</v>
      </c>
      <c r="AN101" s="26"/>
      <c r="AO101" s="33">
        <v>220000</v>
      </c>
      <c r="AP101" s="67">
        <f t="shared" si="117"/>
        <v>200000</v>
      </c>
      <c r="AQ101" s="34">
        <f t="shared" si="118"/>
        <v>110.00000000000001</v>
      </c>
      <c r="AR101" s="67">
        <f t="shared" si="119"/>
        <v>220000</v>
      </c>
      <c r="AS101" s="34">
        <f t="shared" si="120"/>
        <v>100</v>
      </c>
      <c r="AT101" s="28">
        <f t="shared" si="121"/>
        <v>131</v>
      </c>
      <c r="AU101" s="28">
        <f t="shared" si="122"/>
        <v>171.9</v>
      </c>
      <c r="AV101" s="28">
        <f t="shared" si="123"/>
        <v>302.9</v>
      </c>
      <c r="AW101" s="24">
        <f t="shared" si="124"/>
        <v>-16</v>
      </c>
      <c r="AX101" s="24">
        <f t="shared" si="125"/>
        <v>0</v>
      </c>
      <c r="AY101" s="24">
        <f t="shared" si="126"/>
        <v>-16</v>
      </c>
      <c r="AZ101" s="156">
        <f t="shared" si="127"/>
        <v>52272</v>
      </c>
      <c r="BA101" s="35">
        <f t="shared" si="128"/>
        <v>0.2376</v>
      </c>
      <c r="BB101" s="35">
        <f t="shared" si="129"/>
        <v>27.324</v>
      </c>
      <c r="BC101" s="36">
        <f t="shared" si="130"/>
        <v>40.84344</v>
      </c>
      <c r="BD101" s="36">
        <f t="shared" si="131"/>
        <v>68.16744</v>
      </c>
      <c r="BE101" s="36" t="str">
        <f t="shared" si="132"/>
        <v>yes</v>
      </c>
      <c r="BF101" s="37">
        <f t="shared" si="133"/>
        <v>0.2376</v>
      </c>
      <c r="BG101" s="37">
        <f t="shared" si="134"/>
        <v>31.125600000000002</v>
      </c>
      <c r="BH101" s="36">
        <f t="shared" si="135"/>
        <v>40.84344</v>
      </c>
      <c r="BI101" s="38">
        <f t="shared" si="136"/>
        <v>71.96904</v>
      </c>
      <c r="BJ101" s="1" t="str">
        <f t="shared" si="137"/>
        <v>yes</v>
      </c>
      <c r="BK101" s="37">
        <f t="shared" si="138"/>
        <v>-3.8016000000000005</v>
      </c>
      <c r="BL101" s="37">
        <f t="shared" si="139"/>
        <v>0</v>
      </c>
      <c r="BM101" s="7">
        <f t="shared" si="140"/>
        <v>-3.8016000000000076</v>
      </c>
      <c r="BN101" s="7">
        <f t="shared" si="141"/>
        <v>0</v>
      </c>
      <c r="BO101" s="7"/>
      <c r="BP101" s="7"/>
      <c r="BR101" s="7"/>
    </row>
    <row r="102" spans="2:66" ht="18" customHeight="1">
      <c r="B102" s="4" t="s">
        <v>12</v>
      </c>
      <c r="C102" s="4" t="s">
        <v>25</v>
      </c>
      <c r="D102" s="157" t="s">
        <v>157</v>
      </c>
      <c r="E102" s="158" t="s">
        <v>27</v>
      </c>
      <c r="F102" s="79">
        <f t="shared" si="100"/>
        <v>52272</v>
      </c>
      <c r="G102" s="80">
        <f t="shared" si="101"/>
        <v>40</v>
      </c>
      <c r="H102" s="149">
        <f t="shared" si="102"/>
        <v>4</v>
      </c>
      <c r="I102" s="150">
        <f t="shared" si="103"/>
        <v>41.29488</v>
      </c>
      <c r="J102" s="83">
        <f t="shared" si="104"/>
        <v>38.253600000000006</v>
      </c>
      <c r="K102" s="84">
        <f t="shared" si="105"/>
        <v>40.6296</v>
      </c>
      <c r="L102" s="151">
        <f t="shared" si="106"/>
        <v>38.253600000000006</v>
      </c>
      <c r="M102" s="152">
        <f t="shared" si="107"/>
        <v>40.6296</v>
      </c>
      <c r="N102" s="188">
        <f t="shared" si="108"/>
        <v>0.06211180124223592</v>
      </c>
      <c r="O102" s="153">
        <f t="shared" si="109"/>
        <v>0</v>
      </c>
      <c r="P102" s="154">
        <f t="shared" si="110"/>
        <v>0</v>
      </c>
      <c r="Q102" s="176">
        <f t="shared" si="111"/>
      </c>
      <c r="R102" s="100">
        <f t="shared" si="112"/>
        <v>2.3759999999999977</v>
      </c>
      <c r="S102" s="184">
        <f t="shared" si="113"/>
        <v>0.062111801242235955</v>
      </c>
      <c r="U102" s="208" t="s">
        <v>25</v>
      </c>
      <c r="V102" s="4" t="s">
        <v>12</v>
      </c>
      <c r="X102" s="32">
        <v>158</v>
      </c>
      <c r="Y102" s="32">
        <v>161</v>
      </c>
      <c r="Z102" s="32">
        <v>171</v>
      </c>
      <c r="AA102" s="32"/>
      <c r="AB102" s="32"/>
      <c r="AC102" s="32"/>
      <c r="AD102" s="32"/>
      <c r="AE102" s="32"/>
      <c r="AF102" s="32"/>
      <c r="AG102" s="32">
        <f t="shared" si="114"/>
        <v>158</v>
      </c>
      <c r="AH102" s="32">
        <f t="shared" si="115"/>
        <v>161</v>
      </c>
      <c r="AI102" s="32">
        <f t="shared" si="116"/>
        <v>171</v>
      </c>
      <c r="AJ102" s="26"/>
      <c r="AK102" s="33">
        <v>200000</v>
      </c>
      <c r="AL102" s="26"/>
      <c r="AM102" s="33">
        <v>220000</v>
      </c>
      <c r="AN102" s="26"/>
      <c r="AO102" s="33">
        <v>220000</v>
      </c>
      <c r="AP102" s="67">
        <f t="shared" si="117"/>
        <v>200000</v>
      </c>
      <c r="AQ102" s="34">
        <f t="shared" si="118"/>
        <v>110.00000000000001</v>
      </c>
      <c r="AR102" s="67">
        <f t="shared" si="119"/>
        <v>220000</v>
      </c>
      <c r="AS102" s="34">
        <f t="shared" si="120"/>
        <v>100</v>
      </c>
      <c r="AT102" s="28">
        <f t="shared" si="121"/>
        <v>161</v>
      </c>
      <c r="AU102" s="28">
        <f t="shared" si="122"/>
      </c>
      <c r="AV102" s="28">
        <f t="shared" si="123"/>
        <v>161</v>
      </c>
      <c r="AW102" s="24">
        <f t="shared" si="124"/>
        <v>10</v>
      </c>
      <c r="AX102" s="24">
        <f t="shared" si="125"/>
      </c>
      <c r="AY102" s="24">
        <f t="shared" si="126"/>
        <v>10</v>
      </c>
      <c r="AZ102" s="156">
        <f t="shared" si="127"/>
        <v>52272</v>
      </c>
      <c r="BA102" s="35">
        <f t="shared" si="128"/>
        <v>0.2376</v>
      </c>
      <c r="BB102" s="35">
        <f t="shared" si="129"/>
        <v>40.6296</v>
      </c>
      <c r="BC102" s="36">
        <f t="shared" si="130"/>
        <v>0</v>
      </c>
      <c r="BD102" s="36">
        <f t="shared" si="131"/>
        <v>40.6296</v>
      </c>
      <c r="BE102" s="36" t="str">
        <f t="shared" si="132"/>
        <v>yes</v>
      </c>
      <c r="BF102" s="37">
        <f t="shared" si="133"/>
        <v>0.2376</v>
      </c>
      <c r="BG102" s="37">
        <f t="shared" si="134"/>
        <v>38.253600000000006</v>
      </c>
      <c r="BH102" s="36">
        <f t="shared" si="135"/>
        <v>0</v>
      </c>
      <c r="BI102" s="38">
        <f t="shared" si="136"/>
        <v>38.253600000000006</v>
      </c>
      <c r="BJ102" s="1" t="str">
        <f t="shared" si="137"/>
        <v>yes</v>
      </c>
      <c r="BK102" s="37">
        <f t="shared" si="138"/>
        <v>2.3759999999999977</v>
      </c>
      <c r="BL102" s="37">
        <f t="shared" si="139"/>
      </c>
      <c r="BM102" s="7">
        <f t="shared" si="140"/>
        <v>2.3759999999999977</v>
      </c>
      <c r="BN102" s="7">
        <f t="shared" si="141"/>
        <v>0</v>
      </c>
    </row>
    <row r="103" spans="4:66" ht="18" customHeight="1">
      <c r="D103" s="157" t="s">
        <v>157</v>
      </c>
      <c r="E103" s="158" t="s">
        <v>101</v>
      </c>
      <c r="F103" s="79">
        <f t="shared" si="100"/>
        <v>52272</v>
      </c>
      <c r="G103" s="80">
        <f t="shared" si="101"/>
        <v>40</v>
      </c>
      <c r="H103" s="149">
        <f t="shared" si="102"/>
        <v>4</v>
      </c>
      <c r="I103" s="150">
        <f t="shared" si="103"/>
      </c>
      <c r="J103" s="83">
        <f t="shared" si="104"/>
        <v>55.76472000000001</v>
      </c>
      <c r="K103" s="84">
        <f t="shared" si="105"/>
        <v>58.14072</v>
      </c>
      <c r="L103" s="151">
        <f t="shared" si="106"/>
        <v>38.253600000000006</v>
      </c>
      <c r="M103" s="152">
        <f t="shared" si="107"/>
        <v>40.6296</v>
      </c>
      <c r="N103" s="188">
        <f t="shared" si="108"/>
        <v>0.06211180124223592</v>
      </c>
      <c r="O103" s="153">
        <f t="shared" si="109"/>
        <v>17.511120000000002</v>
      </c>
      <c r="P103" s="154">
        <f t="shared" si="110"/>
        <v>17.511120000000002</v>
      </c>
      <c r="Q103" s="176">
        <f t="shared" si="111"/>
        <v>0</v>
      </c>
      <c r="R103" s="100">
        <f t="shared" si="112"/>
        <v>2.3759999999999906</v>
      </c>
      <c r="S103" s="184">
        <f t="shared" si="113"/>
        <v>0.04260758414997852</v>
      </c>
      <c r="U103" s="208" t="s">
        <v>104</v>
      </c>
      <c r="V103" s="4" t="s">
        <v>12</v>
      </c>
      <c r="X103" s="32"/>
      <c r="Y103" s="32">
        <v>161</v>
      </c>
      <c r="Z103" s="32">
        <v>171</v>
      </c>
      <c r="AA103" s="32"/>
      <c r="AB103" s="32"/>
      <c r="AC103" s="32">
        <v>73.7</v>
      </c>
      <c r="AD103" s="32"/>
      <c r="AE103" s="32">
        <v>73.7</v>
      </c>
      <c r="AF103" s="32"/>
      <c r="AG103" s="32">
        <f t="shared" si="114"/>
        <v>0</v>
      </c>
      <c r="AH103" s="32">
        <f t="shared" si="115"/>
        <v>234.7</v>
      </c>
      <c r="AI103" s="32">
        <f t="shared" si="116"/>
        <v>244.7</v>
      </c>
      <c r="AJ103" s="26"/>
      <c r="AK103" s="33"/>
      <c r="AL103" s="26"/>
      <c r="AM103" s="33">
        <v>220000</v>
      </c>
      <c r="AN103" s="26"/>
      <c r="AO103" s="33">
        <v>220000</v>
      </c>
      <c r="AP103" s="67">
        <f t="shared" si="117"/>
        <v>0</v>
      </c>
      <c r="AQ103" s="34" t="str">
        <f t="shared" si="118"/>
        <v>Not Avail.</v>
      </c>
      <c r="AR103" s="67">
        <f t="shared" si="119"/>
        <v>220000</v>
      </c>
      <c r="AS103" s="34">
        <f t="shared" si="120"/>
        <v>100</v>
      </c>
      <c r="AT103" s="28">
        <f t="shared" si="121"/>
        <v>161</v>
      </c>
      <c r="AU103" s="28">
        <f t="shared" si="122"/>
        <v>73.7</v>
      </c>
      <c r="AV103" s="28">
        <f t="shared" si="123"/>
        <v>234.7</v>
      </c>
      <c r="AW103" s="24">
        <f t="shared" si="124"/>
        <v>10</v>
      </c>
      <c r="AX103" s="24">
        <f t="shared" si="125"/>
        <v>0</v>
      </c>
      <c r="AY103" s="24">
        <f t="shared" si="126"/>
        <v>10</v>
      </c>
      <c r="AZ103" s="156">
        <f t="shared" si="127"/>
        <v>52272</v>
      </c>
      <c r="BA103" s="35">
        <f t="shared" si="128"/>
        <v>0.2376</v>
      </c>
      <c r="BB103" s="35">
        <f t="shared" si="129"/>
        <v>40.6296</v>
      </c>
      <c r="BC103" s="36">
        <f t="shared" si="130"/>
        <v>17.511120000000002</v>
      </c>
      <c r="BD103" s="36">
        <f t="shared" si="131"/>
        <v>58.14072</v>
      </c>
      <c r="BE103" s="36" t="str">
        <f t="shared" si="132"/>
        <v>yes</v>
      </c>
      <c r="BF103" s="37">
        <f t="shared" si="133"/>
        <v>0.2376</v>
      </c>
      <c r="BG103" s="37">
        <f t="shared" si="134"/>
        <v>38.253600000000006</v>
      </c>
      <c r="BH103" s="36">
        <f t="shared" si="135"/>
        <v>17.511120000000002</v>
      </c>
      <c r="BI103" s="38">
        <f t="shared" si="136"/>
        <v>55.76472000000001</v>
      </c>
      <c r="BJ103" s="1" t="str">
        <f t="shared" si="137"/>
        <v>yes</v>
      </c>
      <c r="BK103" s="37">
        <f t="shared" si="138"/>
        <v>2.3759999999999977</v>
      </c>
      <c r="BL103" s="37">
        <f t="shared" si="139"/>
        <v>0</v>
      </c>
      <c r="BM103" s="7">
        <f t="shared" si="140"/>
        <v>2.3759999999999906</v>
      </c>
      <c r="BN103" s="7">
        <f t="shared" si="141"/>
        <v>0</v>
      </c>
    </row>
    <row r="104" spans="2:70" ht="18" customHeight="1">
      <c r="B104" s="4" t="s">
        <v>12</v>
      </c>
      <c r="C104" s="4" t="s">
        <v>95</v>
      </c>
      <c r="D104" s="157" t="s">
        <v>157</v>
      </c>
      <c r="E104" s="158" t="s">
        <v>174</v>
      </c>
      <c r="F104" s="79">
        <f t="shared" si="100"/>
        <v>52272</v>
      </c>
      <c r="G104" s="80">
        <f t="shared" si="101"/>
        <v>40</v>
      </c>
      <c r="H104" s="149">
        <f t="shared" si="102"/>
        <v>4</v>
      </c>
      <c r="I104" s="150">
        <f t="shared" si="103"/>
        <v>76.4478</v>
      </c>
      <c r="J104" s="83">
        <f t="shared" si="104"/>
        <v>67.92984</v>
      </c>
      <c r="K104" s="84">
        <f t="shared" si="105"/>
        <v>68.16744</v>
      </c>
      <c r="L104" s="151">
        <f t="shared" si="106"/>
        <v>27.0864</v>
      </c>
      <c r="M104" s="152">
        <f t="shared" si="107"/>
        <v>27.324</v>
      </c>
      <c r="N104" s="188">
        <f t="shared" si="108"/>
        <v>0.00877192982456143</v>
      </c>
      <c r="O104" s="153">
        <f t="shared" si="109"/>
        <v>40.84344</v>
      </c>
      <c r="P104" s="154">
        <f t="shared" si="110"/>
        <v>40.84344</v>
      </c>
      <c r="Q104" s="176">
        <f t="shared" si="111"/>
        <v>0</v>
      </c>
      <c r="R104" s="100">
        <f t="shared" si="112"/>
        <v>0.23760000000000048</v>
      </c>
      <c r="S104" s="184">
        <f t="shared" si="113"/>
        <v>0.003497726477789444</v>
      </c>
      <c r="U104" s="208" t="s">
        <v>95</v>
      </c>
      <c r="V104" s="4" t="s">
        <v>12</v>
      </c>
      <c r="X104" s="155">
        <v>128</v>
      </c>
      <c r="Y104" s="155">
        <v>114</v>
      </c>
      <c r="Z104" s="155">
        <v>115</v>
      </c>
      <c r="AA104" s="155">
        <v>164.5</v>
      </c>
      <c r="AB104" s="155"/>
      <c r="AC104" s="155">
        <v>171.9</v>
      </c>
      <c r="AD104" s="155"/>
      <c r="AE104" s="155">
        <v>171.9</v>
      </c>
      <c r="AF104" s="155"/>
      <c r="AG104" s="32">
        <f t="shared" si="114"/>
        <v>292.5</v>
      </c>
      <c r="AH104" s="32">
        <f t="shared" si="115"/>
        <v>285.9</v>
      </c>
      <c r="AI104" s="32">
        <f t="shared" si="116"/>
        <v>286.9</v>
      </c>
      <c r="AJ104" s="26"/>
      <c r="AK104" s="33">
        <v>200000</v>
      </c>
      <c r="AL104" s="26"/>
      <c r="AM104" s="33">
        <v>220000</v>
      </c>
      <c r="AN104" s="26"/>
      <c r="AO104" s="33">
        <v>220000</v>
      </c>
      <c r="AP104" s="67">
        <f t="shared" si="117"/>
        <v>200000</v>
      </c>
      <c r="AQ104" s="34">
        <f t="shared" si="118"/>
        <v>110.00000000000001</v>
      </c>
      <c r="AR104" s="67">
        <f t="shared" si="119"/>
        <v>220000</v>
      </c>
      <c r="AS104" s="34">
        <f t="shared" si="120"/>
        <v>100</v>
      </c>
      <c r="AT104" s="28">
        <f t="shared" si="121"/>
        <v>113.99999999999999</v>
      </c>
      <c r="AU104" s="28">
        <f t="shared" si="122"/>
        <v>171.9</v>
      </c>
      <c r="AV104" s="28">
        <f t="shared" si="123"/>
        <v>285.9</v>
      </c>
      <c r="AW104" s="24">
        <f t="shared" si="124"/>
        <v>1.0000000000000142</v>
      </c>
      <c r="AX104" s="24">
        <f t="shared" si="125"/>
        <v>0</v>
      </c>
      <c r="AY104" s="24">
        <f t="shared" si="126"/>
        <v>1</v>
      </c>
      <c r="AZ104" s="156">
        <f t="shared" si="127"/>
        <v>52272</v>
      </c>
      <c r="BA104" s="35">
        <f t="shared" si="128"/>
        <v>0.2376</v>
      </c>
      <c r="BB104" s="35">
        <f t="shared" si="129"/>
        <v>27.324</v>
      </c>
      <c r="BC104" s="36">
        <f t="shared" si="130"/>
        <v>40.84344</v>
      </c>
      <c r="BD104" s="36">
        <f t="shared" si="131"/>
        <v>68.16744</v>
      </c>
      <c r="BE104" s="36" t="str">
        <f t="shared" si="132"/>
        <v>yes</v>
      </c>
      <c r="BF104" s="37">
        <f t="shared" si="133"/>
        <v>0.2376</v>
      </c>
      <c r="BG104" s="37">
        <f t="shared" si="134"/>
        <v>27.0864</v>
      </c>
      <c r="BH104" s="36">
        <f t="shared" si="135"/>
        <v>40.84344</v>
      </c>
      <c r="BI104" s="38">
        <f t="shared" si="136"/>
        <v>67.92984</v>
      </c>
      <c r="BJ104" s="1" t="str">
        <f t="shared" si="137"/>
        <v>yes</v>
      </c>
      <c r="BK104" s="37">
        <f t="shared" si="138"/>
        <v>0.23760000000000048</v>
      </c>
      <c r="BL104" s="37">
        <f t="shared" si="139"/>
        <v>0</v>
      </c>
      <c r="BM104" s="7">
        <f t="shared" si="140"/>
        <v>0.23760000000000048</v>
      </c>
      <c r="BN104" s="7">
        <f t="shared" si="141"/>
        <v>0</v>
      </c>
      <c r="BO104" s="7"/>
      <c r="BP104" s="7"/>
      <c r="BR104" s="7"/>
    </row>
    <row r="105" spans="2:66" ht="18" customHeight="1">
      <c r="B105" s="4" t="s">
        <v>12</v>
      </c>
      <c r="C105" s="29" t="s">
        <v>97</v>
      </c>
      <c r="D105" s="157" t="s">
        <v>157</v>
      </c>
      <c r="E105" s="158" t="s">
        <v>178</v>
      </c>
      <c r="F105" s="79">
        <f t="shared" si="100"/>
        <v>52272</v>
      </c>
      <c r="G105" s="80">
        <f t="shared" si="101"/>
        <v>40</v>
      </c>
      <c r="H105" s="149">
        <f t="shared" si="102"/>
        <v>4</v>
      </c>
      <c r="I105" s="150">
        <f t="shared" si="103"/>
        <v>66.38543999999999</v>
      </c>
      <c r="J105" s="83">
        <f t="shared" si="104"/>
        <v>63.34416</v>
      </c>
      <c r="K105" s="84">
        <f t="shared" si="105"/>
        <v>64.53216</v>
      </c>
      <c r="L105" s="151">
        <f t="shared" si="106"/>
        <v>31.125600000000002</v>
      </c>
      <c r="M105" s="152">
        <f t="shared" si="107"/>
        <v>32.3136</v>
      </c>
      <c r="N105" s="188">
        <f t="shared" si="108"/>
        <v>0.03816793893129766</v>
      </c>
      <c r="O105" s="153">
        <f t="shared" si="109"/>
        <v>32.218560000000004</v>
      </c>
      <c r="P105" s="154">
        <f t="shared" si="110"/>
        <v>32.218560000000004</v>
      </c>
      <c r="Q105" s="176">
        <f t="shared" si="111"/>
        <v>0</v>
      </c>
      <c r="R105" s="100">
        <f t="shared" si="112"/>
        <v>1.1880000000000024</v>
      </c>
      <c r="S105" s="184">
        <f t="shared" si="113"/>
        <v>0.01875468867216808</v>
      </c>
      <c r="U105" s="207" t="s">
        <v>97</v>
      </c>
      <c r="V105" s="4" t="s">
        <v>12</v>
      </c>
      <c r="X105" s="161">
        <v>128</v>
      </c>
      <c r="Y105" s="161">
        <v>131</v>
      </c>
      <c r="Z105" s="161">
        <v>136</v>
      </c>
      <c r="AA105" s="161">
        <v>126</v>
      </c>
      <c r="AB105" s="161"/>
      <c r="AC105" s="161">
        <v>135.6</v>
      </c>
      <c r="AD105" s="161"/>
      <c r="AE105" s="161">
        <v>135.6</v>
      </c>
      <c r="AF105" s="161"/>
      <c r="AG105" s="32">
        <f t="shared" si="114"/>
        <v>254</v>
      </c>
      <c r="AH105" s="32">
        <f t="shared" si="115"/>
        <v>266.6</v>
      </c>
      <c r="AI105" s="32">
        <f t="shared" si="116"/>
        <v>271.6</v>
      </c>
      <c r="AJ105" s="26"/>
      <c r="AK105" s="33">
        <v>200000</v>
      </c>
      <c r="AL105" s="26"/>
      <c r="AM105" s="33">
        <v>220000</v>
      </c>
      <c r="AN105" s="26"/>
      <c r="AO105" s="33">
        <v>220000</v>
      </c>
      <c r="AP105" s="67">
        <f t="shared" si="117"/>
        <v>200000</v>
      </c>
      <c r="AQ105" s="34">
        <f t="shared" si="118"/>
        <v>110.00000000000001</v>
      </c>
      <c r="AR105" s="67">
        <f t="shared" si="119"/>
        <v>220000</v>
      </c>
      <c r="AS105" s="34">
        <f t="shared" si="120"/>
        <v>100</v>
      </c>
      <c r="AT105" s="28">
        <f t="shared" si="121"/>
        <v>131</v>
      </c>
      <c r="AU105" s="28">
        <f t="shared" si="122"/>
        <v>135.6</v>
      </c>
      <c r="AV105" s="28">
        <f t="shared" si="123"/>
        <v>266.6</v>
      </c>
      <c r="AW105" s="24">
        <f t="shared" si="124"/>
        <v>5</v>
      </c>
      <c r="AX105" s="24">
        <f t="shared" si="125"/>
        <v>0</v>
      </c>
      <c r="AY105" s="24">
        <f t="shared" si="126"/>
        <v>5</v>
      </c>
      <c r="AZ105" s="156">
        <f t="shared" si="127"/>
        <v>52272</v>
      </c>
      <c r="BA105" s="35">
        <f t="shared" si="128"/>
        <v>0.2376</v>
      </c>
      <c r="BB105" s="35">
        <f t="shared" si="129"/>
        <v>32.3136</v>
      </c>
      <c r="BC105" s="36">
        <f t="shared" si="130"/>
        <v>32.218560000000004</v>
      </c>
      <c r="BD105" s="36">
        <f t="shared" si="131"/>
        <v>64.53216</v>
      </c>
      <c r="BE105" s="36" t="str">
        <f t="shared" si="132"/>
        <v>yes</v>
      </c>
      <c r="BF105" s="37">
        <f t="shared" si="133"/>
        <v>0.2376</v>
      </c>
      <c r="BG105" s="37">
        <f t="shared" si="134"/>
        <v>31.125600000000002</v>
      </c>
      <c r="BH105" s="36">
        <f t="shared" si="135"/>
        <v>32.218560000000004</v>
      </c>
      <c r="BI105" s="38">
        <f t="shared" si="136"/>
        <v>63.34416</v>
      </c>
      <c r="BJ105" s="1" t="str">
        <f t="shared" si="137"/>
        <v>yes</v>
      </c>
      <c r="BK105" s="37">
        <f t="shared" si="138"/>
        <v>1.1879999999999988</v>
      </c>
      <c r="BL105" s="37">
        <f t="shared" si="139"/>
        <v>0</v>
      </c>
      <c r="BM105" s="7">
        <f t="shared" si="140"/>
        <v>1.1880000000000024</v>
      </c>
      <c r="BN105" s="7">
        <f t="shared" si="141"/>
        <v>0</v>
      </c>
    </row>
    <row r="106" spans="2:66" ht="18" customHeight="1">
      <c r="B106" s="4" t="s">
        <v>12</v>
      </c>
      <c r="C106" s="4" t="s">
        <v>95</v>
      </c>
      <c r="D106" s="157" t="s">
        <v>157</v>
      </c>
      <c r="E106" s="158" t="s">
        <v>176</v>
      </c>
      <c r="F106" s="79">
        <f t="shared" si="100"/>
        <v>52272</v>
      </c>
      <c r="G106" s="80">
        <f t="shared" si="101"/>
        <v>40</v>
      </c>
      <c r="H106" s="149">
        <f t="shared" si="102"/>
        <v>4</v>
      </c>
      <c r="I106" s="150">
        <f t="shared" si="103"/>
        <v>76.4478</v>
      </c>
      <c r="J106" s="83">
        <f t="shared" si="104"/>
        <v>71.96904</v>
      </c>
      <c r="K106" s="84">
        <f t="shared" si="105"/>
        <v>73.15704</v>
      </c>
      <c r="L106" s="151">
        <f t="shared" si="106"/>
        <v>31.125600000000002</v>
      </c>
      <c r="M106" s="152">
        <f t="shared" si="107"/>
        <v>32.3136</v>
      </c>
      <c r="N106" s="188">
        <f t="shared" si="108"/>
        <v>0.03816793893129766</v>
      </c>
      <c r="O106" s="153">
        <f t="shared" si="109"/>
        <v>40.84344</v>
      </c>
      <c r="P106" s="154">
        <f t="shared" si="110"/>
        <v>40.84344</v>
      </c>
      <c r="Q106" s="176">
        <f t="shared" si="111"/>
        <v>0</v>
      </c>
      <c r="R106" s="100">
        <f t="shared" si="112"/>
        <v>1.1879999999999882</v>
      </c>
      <c r="S106" s="184">
        <f t="shared" si="113"/>
        <v>0.016507098052162265</v>
      </c>
      <c r="U106" s="208" t="s">
        <v>95</v>
      </c>
      <c r="V106" s="4" t="s">
        <v>12</v>
      </c>
      <c r="X106" s="155">
        <v>128</v>
      </c>
      <c r="Y106" s="155">
        <v>131</v>
      </c>
      <c r="Z106" s="155">
        <v>136</v>
      </c>
      <c r="AA106" s="155">
        <v>164.5</v>
      </c>
      <c r="AB106" s="155"/>
      <c r="AC106" s="155">
        <v>171.9</v>
      </c>
      <c r="AD106" s="155"/>
      <c r="AE106" s="155">
        <v>171.9</v>
      </c>
      <c r="AF106" s="155"/>
      <c r="AG106" s="32">
        <f t="shared" si="114"/>
        <v>292.5</v>
      </c>
      <c r="AH106" s="32">
        <f t="shared" si="115"/>
        <v>302.9</v>
      </c>
      <c r="AI106" s="32">
        <f t="shared" si="116"/>
        <v>307.9</v>
      </c>
      <c r="AJ106" s="26"/>
      <c r="AK106" s="33">
        <v>200000</v>
      </c>
      <c r="AL106" s="26"/>
      <c r="AM106" s="33">
        <v>220000</v>
      </c>
      <c r="AN106" s="26"/>
      <c r="AO106" s="33">
        <v>220000</v>
      </c>
      <c r="AP106" s="67">
        <f t="shared" si="117"/>
        <v>200000</v>
      </c>
      <c r="AQ106" s="34">
        <f t="shared" si="118"/>
        <v>110.00000000000001</v>
      </c>
      <c r="AR106" s="67">
        <f t="shared" si="119"/>
        <v>220000</v>
      </c>
      <c r="AS106" s="34">
        <f t="shared" si="120"/>
        <v>100</v>
      </c>
      <c r="AT106" s="28">
        <f t="shared" si="121"/>
        <v>131</v>
      </c>
      <c r="AU106" s="28">
        <f t="shared" si="122"/>
        <v>171.9</v>
      </c>
      <c r="AV106" s="28">
        <f t="shared" si="123"/>
        <v>302.9</v>
      </c>
      <c r="AW106" s="24">
        <f t="shared" si="124"/>
        <v>5</v>
      </c>
      <c r="AX106" s="24">
        <f t="shared" si="125"/>
        <v>0</v>
      </c>
      <c r="AY106" s="24">
        <f t="shared" si="126"/>
        <v>5</v>
      </c>
      <c r="AZ106" s="156">
        <f t="shared" si="127"/>
        <v>52272</v>
      </c>
      <c r="BA106" s="35">
        <f t="shared" si="128"/>
        <v>0.2376</v>
      </c>
      <c r="BB106" s="35">
        <f t="shared" si="129"/>
        <v>32.3136</v>
      </c>
      <c r="BC106" s="36">
        <f t="shared" si="130"/>
        <v>40.84344</v>
      </c>
      <c r="BD106" s="36">
        <f t="shared" si="131"/>
        <v>73.15704</v>
      </c>
      <c r="BE106" s="36" t="str">
        <f t="shared" si="132"/>
        <v>yes</v>
      </c>
      <c r="BF106" s="37">
        <f t="shared" si="133"/>
        <v>0.2376</v>
      </c>
      <c r="BG106" s="37">
        <f t="shared" si="134"/>
        <v>31.125600000000002</v>
      </c>
      <c r="BH106" s="36">
        <f t="shared" si="135"/>
        <v>40.84344</v>
      </c>
      <c r="BI106" s="38">
        <f t="shared" si="136"/>
        <v>71.96904</v>
      </c>
      <c r="BJ106" s="1" t="str">
        <f t="shared" si="137"/>
        <v>yes</v>
      </c>
      <c r="BK106" s="37">
        <f t="shared" si="138"/>
        <v>1.1879999999999988</v>
      </c>
      <c r="BL106" s="37">
        <f t="shared" si="139"/>
        <v>0</v>
      </c>
      <c r="BM106" s="7">
        <f t="shared" si="140"/>
        <v>1.1879999999999882</v>
      </c>
      <c r="BN106" s="7">
        <f t="shared" si="141"/>
        <v>0</v>
      </c>
    </row>
    <row r="107" spans="3:66" ht="18" customHeight="1">
      <c r="C107" s="29"/>
      <c r="D107" s="157" t="s">
        <v>157</v>
      </c>
      <c r="E107" s="158" t="s">
        <v>102</v>
      </c>
      <c r="F107" s="79">
        <f t="shared" si="100"/>
        <v>52272</v>
      </c>
      <c r="G107" s="80">
        <f t="shared" si="101"/>
        <v>40</v>
      </c>
      <c r="H107" s="149">
        <f t="shared" si="102"/>
        <v>4</v>
      </c>
      <c r="I107" s="150">
        <f t="shared" si="103"/>
      </c>
      <c r="J107" s="83">
        <f t="shared" si="104"/>
        <v>0</v>
      </c>
      <c r="K107" s="84">
        <f t="shared" si="105"/>
        <v>62.013600000000004</v>
      </c>
      <c r="L107" s="151">
        <f t="shared" si="106"/>
      </c>
      <c r="M107" s="152">
        <f t="shared" si="107"/>
        <v>62.013600000000004</v>
      </c>
      <c r="N107" s="188" t="str">
        <f t="shared" si="108"/>
        <v>New</v>
      </c>
      <c r="O107" s="153">
        <f t="shared" si="109"/>
      </c>
      <c r="P107" s="154">
        <f t="shared" si="110"/>
        <v>0</v>
      </c>
      <c r="Q107" s="176" t="str">
        <f t="shared" si="111"/>
        <v>New</v>
      </c>
      <c r="R107" s="100" t="str">
        <f t="shared" si="112"/>
        <v>New</v>
      </c>
      <c r="S107" s="184">
        <f t="shared" si="113"/>
      </c>
      <c r="U107" s="207" t="s">
        <v>206</v>
      </c>
      <c r="V107" s="4" t="s">
        <v>12</v>
      </c>
      <c r="X107" s="39"/>
      <c r="Y107" s="39"/>
      <c r="Z107" s="39">
        <v>261</v>
      </c>
      <c r="AA107" s="39"/>
      <c r="AB107" s="39"/>
      <c r="AC107" s="39"/>
      <c r="AD107" s="39"/>
      <c r="AE107" s="39"/>
      <c r="AF107" s="39"/>
      <c r="AG107" s="32">
        <f t="shared" si="114"/>
        <v>0</v>
      </c>
      <c r="AH107" s="32">
        <f t="shared" si="115"/>
        <v>0</v>
      </c>
      <c r="AI107" s="32">
        <f t="shared" si="116"/>
        <v>261</v>
      </c>
      <c r="AJ107" s="26"/>
      <c r="AK107" s="33"/>
      <c r="AL107" s="26"/>
      <c r="AM107" s="33">
        <v>220000</v>
      </c>
      <c r="AN107" s="26"/>
      <c r="AO107" s="33">
        <v>220000</v>
      </c>
      <c r="AP107" s="67">
        <f t="shared" si="117"/>
        <v>0</v>
      </c>
      <c r="AQ107" s="34" t="str">
        <f t="shared" si="118"/>
        <v>Not Avail.</v>
      </c>
      <c r="AR107" s="67">
        <f t="shared" si="119"/>
        <v>220000</v>
      </c>
      <c r="AS107" s="34">
        <f t="shared" si="120"/>
        <v>100</v>
      </c>
      <c r="AT107" s="28">
        <f t="shared" si="121"/>
      </c>
      <c r="AU107" s="28">
        <f t="shared" si="122"/>
      </c>
      <c r="AV107" s="28">
        <f t="shared" si="123"/>
      </c>
      <c r="AW107" s="24">
        <f t="shared" si="124"/>
      </c>
      <c r="AX107" s="24">
        <f t="shared" si="125"/>
      </c>
      <c r="AY107" s="24" t="str">
        <f t="shared" si="126"/>
        <v>New</v>
      </c>
      <c r="AZ107" s="156">
        <f t="shared" si="127"/>
        <v>52272</v>
      </c>
      <c r="BA107" s="35">
        <f t="shared" si="128"/>
        <v>0.2376</v>
      </c>
      <c r="BB107" s="35">
        <f t="shared" si="129"/>
        <v>62.013600000000004</v>
      </c>
      <c r="BC107" s="36">
        <f t="shared" si="130"/>
        <v>0</v>
      </c>
      <c r="BD107" s="36">
        <f t="shared" si="131"/>
        <v>62.013600000000004</v>
      </c>
      <c r="BE107" s="36" t="str">
        <f t="shared" si="132"/>
        <v>yes</v>
      </c>
      <c r="BF107" s="37">
        <f t="shared" si="133"/>
        <v>0.2376</v>
      </c>
      <c r="BG107" s="37">
        <f t="shared" si="134"/>
      </c>
      <c r="BH107" s="36">
        <f t="shared" si="135"/>
        <v>0</v>
      </c>
      <c r="BI107" s="38">
        <f t="shared" si="136"/>
        <v>0</v>
      </c>
      <c r="BJ107" s="1" t="str">
        <f t="shared" si="137"/>
        <v>yes</v>
      </c>
      <c r="BK107" s="37">
        <f t="shared" si="138"/>
      </c>
      <c r="BL107" s="37">
        <f t="shared" si="139"/>
      </c>
      <c r="BM107" s="7">
        <f t="shared" si="140"/>
      </c>
      <c r="BN107" s="7" t="e">
        <f t="shared" si="141"/>
        <v>#VALUE!</v>
      </c>
    </row>
    <row r="108" spans="3:66" ht="18" customHeight="1">
      <c r="C108" s="29"/>
      <c r="D108" s="157" t="s">
        <v>157</v>
      </c>
      <c r="E108" s="158" t="s">
        <v>103</v>
      </c>
      <c r="F108" s="79">
        <f t="shared" si="100"/>
        <v>52272</v>
      </c>
      <c r="G108" s="80">
        <f t="shared" si="101"/>
        <v>40</v>
      </c>
      <c r="H108" s="149">
        <f t="shared" si="102"/>
        <v>4</v>
      </c>
      <c r="I108" s="150">
        <f t="shared" si="103"/>
      </c>
      <c r="J108" s="83">
        <f t="shared" si="104"/>
        <v>0</v>
      </c>
      <c r="K108" s="84">
        <f t="shared" si="105"/>
        <v>62.013600000000004</v>
      </c>
      <c r="L108" s="151">
        <f t="shared" si="106"/>
      </c>
      <c r="M108" s="152">
        <f t="shared" si="107"/>
        <v>62.013600000000004</v>
      </c>
      <c r="N108" s="188" t="str">
        <f t="shared" si="108"/>
        <v>New</v>
      </c>
      <c r="O108" s="153">
        <f t="shared" si="109"/>
      </c>
      <c r="P108" s="154">
        <f t="shared" si="110"/>
        <v>0</v>
      </c>
      <c r="Q108" s="176" t="str">
        <f t="shared" si="111"/>
        <v>New</v>
      </c>
      <c r="R108" s="100" t="str">
        <f t="shared" si="112"/>
        <v>New</v>
      </c>
      <c r="S108" s="184">
        <f t="shared" si="113"/>
      </c>
      <c r="U108" s="207" t="s">
        <v>207</v>
      </c>
      <c r="V108" s="4" t="s">
        <v>12</v>
      </c>
      <c r="X108" s="39"/>
      <c r="Y108" s="39"/>
      <c r="Z108" s="39">
        <v>261</v>
      </c>
      <c r="AA108" s="39"/>
      <c r="AB108" s="39"/>
      <c r="AC108" s="39"/>
      <c r="AD108" s="39"/>
      <c r="AE108" s="39"/>
      <c r="AF108" s="39"/>
      <c r="AG108" s="32">
        <f t="shared" si="114"/>
        <v>0</v>
      </c>
      <c r="AH108" s="32">
        <f t="shared" si="115"/>
        <v>0</v>
      </c>
      <c r="AI108" s="32">
        <f t="shared" si="116"/>
        <v>261</v>
      </c>
      <c r="AJ108" s="26"/>
      <c r="AK108" s="33"/>
      <c r="AL108" s="26"/>
      <c r="AM108" s="33">
        <v>220000</v>
      </c>
      <c r="AN108" s="26"/>
      <c r="AO108" s="33">
        <v>220000</v>
      </c>
      <c r="AP108" s="67">
        <f t="shared" si="117"/>
        <v>0</v>
      </c>
      <c r="AQ108" s="34" t="str">
        <f t="shared" si="118"/>
        <v>Not Avail.</v>
      </c>
      <c r="AR108" s="67">
        <f t="shared" si="119"/>
        <v>220000</v>
      </c>
      <c r="AS108" s="34">
        <f t="shared" si="120"/>
        <v>100</v>
      </c>
      <c r="AT108" s="28">
        <f t="shared" si="121"/>
      </c>
      <c r="AU108" s="28">
        <f t="shared" si="122"/>
      </c>
      <c r="AV108" s="28">
        <f t="shared" si="123"/>
      </c>
      <c r="AW108" s="24">
        <f t="shared" si="124"/>
      </c>
      <c r="AX108" s="24">
        <f t="shared" si="125"/>
      </c>
      <c r="AY108" s="24" t="str">
        <f t="shared" si="126"/>
        <v>New</v>
      </c>
      <c r="AZ108" s="156">
        <f t="shared" si="127"/>
        <v>52272</v>
      </c>
      <c r="BA108" s="35">
        <f t="shared" si="128"/>
        <v>0.2376</v>
      </c>
      <c r="BB108" s="35">
        <f t="shared" si="129"/>
        <v>62.013600000000004</v>
      </c>
      <c r="BC108" s="36">
        <f t="shared" si="130"/>
        <v>0</v>
      </c>
      <c r="BD108" s="36">
        <f t="shared" si="131"/>
        <v>62.013600000000004</v>
      </c>
      <c r="BE108" s="36" t="str">
        <f t="shared" si="132"/>
        <v>yes</v>
      </c>
      <c r="BF108" s="37">
        <f t="shared" si="133"/>
        <v>0.2376</v>
      </c>
      <c r="BG108" s="37">
        <f t="shared" si="134"/>
      </c>
      <c r="BH108" s="36">
        <f t="shared" si="135"/>
        <v>0</v>
      </c>
      <c r="BI108" s="38">
        <f t="shared" si="136"/>
        <v>0</v>
      </c>
      <c r="BJ108" s="1" t="str">
        <f t="shared" si="137"/>
        <v>yes</v>
      </c>
      <c r="BK108" s="37">
        <f t="shared" si="138"/>
      </c>
      <c r="BL108" s="37">
        <f t="shared" si="139"/>
      </c>
      <c r="BM108" s="7">
        <f t="shared" si="140"/>
      </c>
      <c r="BN108" s="7" t="e">
        <f t="shared" si="141"/>
        <v>#VALUE!</v>
      </c>
    </row>
    <row r="109" spans="2:70" ht="18" customHeight="1">
      <c r="B109" s="4" t="s">
        <v>12</v>
      </c>
      <c r="C109" s="4" t="s">
        <v>141</v>
      </c>
      <c r="D109" s="205" t="s">
        <v>157</v>
      </c>
      <c r="E109" s="192" t="s">
        <v>137</v>
      </c>
      <c r="F109" s="79">
        <f t="shared" si="100"/>
        <v>52272</v>
      </c>
      <c r="G109" s="80">
        <f t="shared" si="101"/>
        <v>40</v>
      </c>
      <c r="H109" s="149">
        <f t="shared" si="102"/>
        <v>4</v>
      </c>
      <c r="I109" s="150">
        <f t="shared" si="103"/>
        <v>76.4478</v>
      </c>
      <c r="J109" s="83">
        <f t="shared" si="104"/>
        <v>73.15704</v>
      </c>
      <c r="K109" s="84">
        <f t="shared" si="105"/>
        <v>74.34504000000001</v>
      </c>
      <c r="L109" s="151">
        <f t="shared" si="106"/>
        <v>32.3136</v>
      </c>
      <c r="M109" s="152">
        <f t="shared" si="107"/>
        <v>33.5016</v>
      </c>
      <c r="N109" s="188">
        <f t="shared" si="108"/>
        <v>0.03676470588235303</v>
      </c>
      <c r="O109" s="153">
        <f t="shared" si="109"/>
        <v>40.84344</v>
      </c>
      <c r="P109" s="154">
        <f t="shared" si="110"/>
        <v>40.84344</v>
      </c>
      <c r="Q109" s="176">
        <f t="shared" si="111"/>
        <v>0</v>
      </c>
      <c r="R109" s="100">
        <f t="shared" si="112"/>
        <v>1.1880000000000166</v>
      </c>
      <c r="S109" s="184">
        <f t="shared" si="113"/>
        <v>0.016239038648912213</v>
      </c>
      <c r="U109" s="208" t="s">
        <v>141</v>
      </c>
      <c r="V109" s="4" t="s">
        <v>12</v>
      </c>
      <c r="X109" s="155">
        <v>128</v>
      </c>
      <c r="Y109" s="155">
        <v>136</v>
      </c>
      <c r="Z109" s="155">
        <v>141</v>
      </c>
      <c r="AA109" s="155">
        <v>164.5</v>
      </c>
      <c r="AB109" s="155"/>
      <c r="AC109" s="155">
        <v>171.9</v>
      </c>
      <c r="AD109" s="155"/>
      <c r="AE109" s="155">
        <v>171.9</v>
      </c>
      <c r="AF109" s="155"/>
      <c r="AG109" s="32">
        <f t="shared" si="114"/>
        <v>292.5</v>
      </c>
      <c r="AH109" s="32">
        <f t="shared" si="115"/>
        <v>307.9</v>
      </c>
      <c r="AI109" s="32">
        <f t="shared" si="116"/>
        <v>312.9</v>
      </c>
      <c r="AJ109" s="26"/>
      <c r="AK109" s="33">
        <v>200000</v>
      </c>
      <c r="AL109" s="26"/>
      <c r="AM109" s="33">
        <v>220000</v>
      </c>
      <c r="AN109" s="26"/>
      <c r="AO109" s="33">
        <v>220000</v>
      </c>
      <c r="AP109" s="67">
        <f t="shared" si="117"/>
        <v>200000</v>
      </c>
      <c r="AQ109" s="34">
        <f t="shared" si="118"/>
        <v>110.00000000000001</v>
      </c>
      <c r="AR109" s="67">
        <f t="shared" si="119"/>
        <v>220000</v>
      </c>
      <c r="AS109" s="34">
        <f t="shared" si="120"/>
        <v>100</v>
      </c>
      <c r="AT109" s="28">
        <f t="shared" si="121"/>
        <v>136</v>
      </c>
      <c r="AU109" s="28">
        <f t="shared" si="122"/>
        <v>171.9</v>
      </c>
      <c r="AV109" s="28">
        <f t="shared" si="123"/>
        <v>307.9</v>
      </c>
      <c r="AW109" s="24">
        <f t="shared" si="124"/>
        <v>5</v>
      </c>
      <c r="AX109" s="24">
        <f t="shared" si="125"/>
        <v>0</v>
      </c>
      <c r="AY109" s="24">
        <f t="shared" si="126"/>
        <v>5</v>
      </c>
      <c r="AZ109" s="156">
        <f t="shared" si="127"/>
        <v>52272</v>
      </c>
      <c r="BA109" s="35">
        <f t="shared" si="128"/>
        <v>0.2376</v>
      </c>
      <c r="BB109" s="35">
        <f t="shared" si="129"/>
        <v>33.5016</v>
      </c>
      <c r="BC109" s="36">
        <f t="shared" si="130"/>
        <v>40.84344</v>
      </c>
      <c r="BD109" s="36">
        <f t="shared" si="131"/>
        <v>74.34504000000001</v>
      </c>
      <c r="BE109" s="36" t="str">
        <f t="shared" si="132"/>
        <v>yes</v>
      </c>
      <c r="BF109" s="37">
        <f t="shared" si="133"/>
        <v>0.2376</v>
      </c>
      <c r="BG109" s="37">
        <f t="shared" si="134"/>
        <v>32.3136</v>
      </c>
      <c r="BH109" s="36">
        <f t="shared" si="135"/>
        <v>40.84344</v>
      </c>
      <c r="BI109" s="38">
        <f t="shared" si="136"/>
        <v>73.15704</v>
      </c>
      <c r="BJ109" s="1" t="str">
        <f t="shared" si="137"/>
        <v>yes</v>
      </c>
      <c r="BK109" s="37">
        <f t="shared" si="138"/>
        <v>1.1880000000000024</v>
      </c>
      <c r="BL109" s="37">
        <f>IF(BH109="","",IF(BH109=0,"",BC109-BH109))</f>
        <v>0</v>
      </c>
      <c r="BM109" s="7">
        <f t="shared" si="140"/>
        <v>1.1880000000000166</v>
      </c>
      <c r="BN109" s="7">
        <f t="shared" si="141"/>
        <v>0</v>
      </c>
      <c r="BO109" s="7"/>
      <c r="BP109" s="7"/>
      <c r="BR109" s="7"/>
    </row>
    <row r="110" spans="2:70" ht="18" customHeight="1">
      <c r="B110" s="4" t="s">
        <v>12</v>
      </c>
      <c r="C110" s="4" t="s">
        <v>95</v>
      </c>
      <c r="D110" s="157" t="s">
        <v>157</v>
      </c>
      <c r="E110" s="158" t="s">
        <v>228</v>
      </c>
      <c r="F110" s="79">
        <f t="shared" si="100"/>
        <v>52272</v>
      </c>
      <c r="G110" s="80">
        <f t="shared" si="101"/>
        <v>40</v>
      </c>
      <c r="H110" s="149">
        <f t="shared" si="102"/>
        <v>4</v>
      </c>
      <c r="I110" s="150">
        <f t="shared" si="103"/>
        <v>76.4478</v>
      </c>
      <c r="J110" s="83">
        <f t="shared" si="104"/>
        <v>73.15704</v>
      </c>
      <c r="K110" s="84">
        <f t="shared" si="105"/>
        <v>74.34504000000001</v>
      </c>
      <c r="L110" s="151">
        <f t="shared" si="106"/>
        <v>32.3136</v>
      </c>
      <c r="M110" s="152">
        <f t="shared" si="107"/>
        <v>33.5016</v>
      </c>
      <c r="N110" s="188">
        <f t="shared" si="108"/>
        <v>0.03676470588235303</v>
      </c>
      <c r="O110" s="153">
        <f t="shared" si="109"/>
        <v>40.84344</v>
      </c>
      <c r="P110" s="154">
        <f t="shared" si="110"/>
        <v>40.84344</v>
      </c>
      <c r="Q110" s="176">
        <f t="shared" si="111"/>
        <v>0</v>
      </c>
      <c r="R110" s="100">
        <f t="shared" si="112"/>
        <v>1.1880000000000166</v>
      </c>
      <c r="S110" s="184">
        <f t="shared" si="113"/>
        <v>0.016239038648912213</v>
      </c>
      <c r="U110" s="208" t="s">
        <v>95</v>
      </c>
      <c r="V110" s="4" t="s">
        <v>12</v>
      </c>
      <c r="X110" s="155">
        <v>128</v>
      </c>
      <c r="Y110" s="155">
        <v>136</v>
      </c>
      <c r="Z110" s="155">
        <v>141</v>
      </c>
      <c r="AA110" s="155">
        <v>164.5</v>
      </c>
      <c r="AB110" s="155"/>
      <c r="AC110" s="155">
        <v>171.9</v>
      </c>
      <c r="AD110" s="155"/>
      <c r="AE110" s="155">
        <v>171.9</v>
      </c>
      <c r="AF110" s="155"/>
      <c r="AG110" s="32">
        <f t="shared" si="114"/>
        <v>292.5</v>
      </c>
      <c r="AH110" s="32">
        <f t="shared" si="115"/>
        <v>307.9</v>
      </c>
      <c r="AI110" s="32">
        <f t="shared" si="116"/>
        <v>312.9</v>
      </c>
      <c r="AJ110" s="26"/>
      <c r="AK110" s="33">
        <v>200000</v>
      </c>
      <c r="AL110" s="26"/>
      <c r="AM110" s="33">
        <v>220000</v>
      </c>
      <c r="AN110" s="26"/>
      <c r="AO110" s="33">
        <v>220000</v>
      </c>
      <c r="AP110" s="67">
        <f t="shared" si="117"/>
        <v>200000</v>
      </c>
      <c r="AQ110" s="34">
        <f t="shared" si="118"/>
        <v>110.00000000000001</v>
      </c>
      <c r="AR110" s="67">
        <f t="shared" si="119"/>
        <v>220000</v>
      </c>
      <c r="AS110" s="34">
        <f t="shared" si="120"/>
        <v>100</v>
      </c>
      <c r="AT110" s="28">
        <f t="shared" si="121"/>
        <v>136</v>
      </c>
      <c r="AU110" s="28">
        <f t="shared" si="122"/>
        <v>171.9</v>
      </c>
      <c r="AV110" s="28">
        <f t="shared" si="123"/>
        <v>307.9</v>
      </c>
      <c r="AW110" s="24">
        <f t="shared" si="124"/>
        <v>5</v>
      </c>
      <c r="AX110" s="24">
        <f t="shared" si="125"/>
        <v>0</v>
      </c>
      <c r="AY110" s="24">
        <f t="shared" si="126"/>
        <v>5</v>
      </c>
      <c r="AZ110" s="156">
        <f t="shared" si="127"/>
        <v>52272</v>
      </c>
      <c r="BA110" s="35">
        <f t="shared" si="128"/>
        <v>0.2376</v>
      </c>
      <c r="BB110" s="35">
        <f t="shared" si="129"/>
        <v>33.5016</v>
      </c>
      <c r="BC110" s="36">
        <f t="shared" si="130"/>
        <v>40.84344</v>
      </c>
      <c r="BD110" s="36">
        <f t="shared" si="131"/>
        <v>74.34504000000001</v>
      </c>
      <c r="BE110" s="36" t="str">
        <f t="shared" si="132"/>
        <v>yes</v>
      </c>
      <c r="BF110" s="37">
        <f t="shared" si="133"/>
        <v>0.2376</v>
      </c>
      <c r="BG110" s="37">
        <f t="shared" si="134"/>
        <v>32.3136</v>
      </c>
      <c r="BH110" s="36">
        <f t="shared" si="135"/>
        <v>40.84344</v>
      </c>
      <c r="BI110" s="38">
        <f t="shared" si="136"/>
        <v>73.15704</v>
      </c>
      <c r="BJ110" s="1" t="str">
        <f t="shared" si="137"/>
        <v>yes</v>
      </c>
      <c r="BK110" s="37">
        <f t="shared" si="138"/>
        <v>1.1880000000000024</v>
      </c>
      <c r="BL110" s="37">
        <f>IF(BH110="","",IF(BH110=0,"",BC110-BH110))</f>
        <v>0</v>
      </c>
      <c r="BM110" s="7">
        <f t="shared" si="140"/>
        <v>1.1880000000000166</v>
      </c>
      <c r="BN110" s="7">
        <f t="shared" si="141"/>
        <v>0</v>
      </c>
      <c r="BO110" s="7"/>
      <c r="BP110" s="7"/>
      <c r="BR110" s="7"/>
    </row>
    <row r="111" spans="2:70" ht="18" customHeight="1">
      <c r="B111" s="4" t="s">
        <v>12</v>
      </c>
      <c r="C111" s="4" t="s">
        <v>95</v>
      </c>
      <c r="D111" s="157" t="s">
        <v>157</v>
      </c>
      <c r="E111" s="158" t="s">
        <v>175</v>
      </c>
      <c r="F111" s="79">
        <f t="shared" si="100"/>
        <v>52272</v>
      </c>
      <c r="G111" s="80">
        <f t="shared" si="101"/>
        <v>40</v>
      </c>
      <c r="H111" s="149">
        <f t="shared" si="102"/>
        <v>4</v>
      </c>
      <c r="I111" s="150">
        <f t="shared" si="103"/>
        <v>76.4478</v>
      </c>
      <c r="J111" s="83">
        <f t="shared" si="104"/>
        <v>71.96904</v>
      </c>
      <c r="K111" s="84">
        <f t="shared" si="105"/>
        <v>73.15704</v>
      </c>
      <c r="L111" s="151">
        <f t="shared" si="106"/>
        <v>31.125600000000002</v>
      </c>
      <c r="M111" s="152">
        <f t="shared" si="107"/>
        <v>32.3136</v>
      </c>
      <c r="N111" s="188">
        <f t="shared" si="108"/>
        <v>0.03816793893129766</v>
      </c>
      <c r="O111" s="153">
        <f t="shared" si="109"/>
        <v>40.84344</v>
      </c>
      <c r="P111" s="154">
        <f t="shared" si="110"/>
        <v>40.84344</v>
      </c>
      <c r="Q111" s="176">
        <f t="shared" si="111"/>
        <v>0</v>
      </c>
      <c r="R111" s="100">
        <f t="shared" si="112"/>
        <v>1.1879999999999882</v>
      </c>
      <c r="S111" s="184">
        <f t="shared" si="113"/>
        <v>0.016507098052162265</v>
      </c>
      <c r="U111" s="208" t="s">
        <v>95</v>
      </c>
      <c r="V111" s="4" t="s">
        <v>12</v>
      </c>
      <c r="X111" s="155">
        <v>128</v>
      </c>
      <c r="Y111" s="155">
        <v>131</v>
      </c>
      <c r="Z111" s="155">
        <v>136</v>
      </c>
      <c r="AA111" s="155">
        <v>164.5</v>
      </c>
      <c r="AB111" s="155"/>
      <c r="AC111" s="155">
        <v>171.9</v>
      </c>
      <c r="AD111" s="155"/>
      <c r="AE111" s="155">
        <v>171.9</v>
      </c>
      <c r="AF111" s="155"/>
      <c r="AG111" s="32">
        <f t="shared" si="114"/>
        <v>292.5</v>
      </c>
      <c r="AH111" s="32">
        <f t="shared" si="115"/>
        <v>302.9</v>
      </c>
      <c r="AI111" s="32">
        <f t="shared" si="116"/>
        <v>307.9</v>
      </c>
      <c r="AJ111" s="26"/>
      <c r="AK111" s="33">
        <v>200000</v>
      </c>
      <c r="AL111" s="26"/>
      <c r="AM111" s="33">
        <v>220000</v>
      </c>
      <c r="AN111" s="26"/>
      <c r="AO111" s="33">
        <v>220000</v>
      </c>
      <c r="AP111" s="67">
        <f t="shared" si="117"/>
        <v>200000</v>
      </c>
      <c r="AQ111" s="34">
        <f t="shared" si="118"/>
        <v>110.00000000000001</v>
      </c>
      <c r="AR111" s="67">
        <f t="shared" si="119"/>
        <v>220000</v>
      </c>
      <c r="AS111" s="34">
        <f t="shared" si="120"/>
        <v>100</v>
      </c>
      <c r="AT111" s="28">
        <f t="shared" si="121"/>
        <v>131</v>
      </c>
      <c r="AU111" s="28">
        <f t="shared" si="122"/>
        <v>171.9</v>
      </c>
      <c r="AV111" s="28">
        <f t="shared" si="123"/>
        <v>302.9</v>
      </c>
      <c r="AW111" s="24">
        <f t="shared" si="124"/>
        <v>5</v>
      </c>
      <c r="AX111" s="24">
        <f t="shared" si="125"/>
        <v>0</v>
      </c>
      <c r="AY111" s="24">
        <f t="shared" si="126"/>
        <v>5</v>
      </c>
      <c r="AZ111" s="156">
        <f t="shared" si="127"/>
        <v>52272</v>
      </c>
      <c r="BA111" s="35">
        <f t="shared" si="128"/>
        <v>0.2376</v>
      </c>
      <c r="BB111" s="35">
        <f t="shared" si="129"/>
        <v>32.3136</v>
      </c>
      <c r="BC111" s="36">
        <f t="shared" si="130"/>
        <v>40.84344</v>
      </c>
      <c r="BD111" s="36">
        <f t="shared" si="131"/>
        <v>73.15704</v>
      </c>
      <c r="BE111" s="36" t="str">
        <f t="shared" si="132"/>
        <v>yes</v>
      </c>
      <c r="BF111" s="37">
        <f t="shared" si="133"/>
        <v>0.2376</v>
      </c>
      <c r="BG111" s="37">
        <f t="shared" si="134"/>
        <v>31.125600000000002</v>
      </c>
      <c r="BH111" s="36">
        <f t="shared" si="135"/>
        <v>40.84344</v>
      </c>
      <c r="BI111" s="38">
        <f t="shared" si="136"/>
        <v>71.96904</v>
      </c>
      <c r="BJ111" s="1" t="str">
        <f t="shared" si="137"/>
        <v>yes</v>
      </c>
      <c r="BK111" s="37">
        <f t="shared" si="138"/>
        <v>1.1879999999999988</v>
      </c>
      <c r="BL111" s="37">
        <f>IF(BH111="","",IF(BH111=0,"",BC111-BH111))</f>
        <v>0</v>
      </c>
      <c r="BM111" s="7">
        <f t="shared" si="140"/>
        <v>1.1879999999999882</v>
      </c>
      <c r="BN111" s="7">
        <f t="shared" si="141"/>
        <v>0</v>
      </c>
      <c r="BO111" s="7"/>
      <c r="BP111" s="7"/>
      <c r="BR111" s="7"/>
    </row>
    <row r="112" spans="4:70" ht="18" customHeight="1">
      <c r="D112" s="157" t="s">
        <v>157</v>
      </c>
      <c r="E112" s="158" t="s">
        <v>54</v>
      </c>
      <c r="F112" s="79">
        <f t="shared" si="100"/>
        <v>52272</v>
      </c>
      <c r="G112" s="80">
        <f t="shared" si="101"/>
        <v>40</v>
      </c>
      <c r="H112" s="149">
        <f t="shared" si="102"/>
        <v>4</v>
      </c>
      <c r="I112" s="150">
        <f>IF(AK112="","",IF($F112&gt;0,($F112/$AK112)*AG112,IF($G112&gt;0,(((43560/($G112/12))*$H112)/$AK112)*AG112,0)))</f>
        <v>0</v>
      </c>
      <c r="J112" s="83">
        <f>BI112</f>
        <v>0</v>
      </c>
      <c r="K112" s="84">
        <f>BD112</f>
        <v>64.3896</v>
      </c>
      <c r="L112" s="151">
        <f>BG112</f>
      </c>
      <c r="M112" s="152">
        <f>BB112</f>
        <v>64.3896</v>
      </c>
      <c r="N112" s="188" t="str">
        <f>IF(R112="New","New",(M112/L112)-1)</f>
        <v>New</v>
      </c>
      <c r="O112" s="153">
        <f>IF(AW112="","",BH112)</f>
      </c>
      <c r="P112" s="154">
        <f>IF(BC112="","",BC112)</f>
        <v>0</v>
      </c>
      <c r="Q112" s="176" t="str">
        <f>IF(R112="New","New",IF(AX112="","",(P112/O112)-1))</f>
        <v>New</v>
      </c>
      <c r="R112" s="100" t="str">
        <f>IF(J112="","New",IF(J112=0,"New",K112-J112))</f>
        <v>New</v>
      </c>
      <c r="S112" s="184">
        <f>IF(R112="New","",R112/J112)</f>
      </c>
      <c r="U112" s="208" t="s">
        <v>205</v>
      </c>
      <c r="V112" s="4" t="s">
        <v>12</v>
      </c>
      <c r="X112" s="155"/>
      <c r="Y112" s="155"/>
      <c r="Z112" s="155">
        <v>271</v>
      </c>
      <c r="AA112" s="155"/>
      <c r="AB112" s="155"/>
      <c r="AC112" s="155"/>
      <c r="AD112" s="155"/>
      <c r="AE112" s="155"/>
      <c r="AF112" s="155"/>
      <c r="AG112" s="32">
        <f t="shared" si="114"/>
        <v>0</v>
      </c>
      <c r="AH112" s="32">
        <f t="shared" si="115"/>
        <v>0</v>
      </c>
      <c r="AI112" s="32">
        <f t="shared" si="116"/>
        <v>271</v>
      </c>
      <c r="AJ112" s="26"/>
      <c r="AK112" s="33">
        <v>200000</v>
      </c>
      <c r="AL112" s="26"/>
      <c r="AM112" s="33">
        <v>220000</v>
      </c>
      <c r="AN112" s="26"/>
      <c r="AO112" s="33">
        <v>220000</v>
      </c>
      <c r="AP112" s="67">
        <f>AK112</f>
        <v>200000</v>
      </c>
      <c r="AQ112" s="34">
        <f>IF(AK112&gt;0,AM112/AK112*100,"Not Avail.")</f>
        <v>110.00000000000001</v>
      </c>
      <c r="AR112" s="67">
        <f>AM112</f>
        <v>220000</v>
      </c>
      <c r="AS112" s="34">
        <f>IF(AM112&gt;0,AO112/AM112*100,"Not Avail.")</f>
        <v>100</v>
      </c>
      <c r="AT112" s="28">
        <f t="shared" si="121"/>
      </c>
      <c r="AU112" s="28">
        <f t="shared" si="122"/>
      </c>
      <c r="AV112" s="28">
        <f>IF(AT112="","",SUM(AT112:AU112))</f>
      </c>
      <c r="AW112" s="24">
        <f t="shared" si="124"/>
      </c>
      <c r="AX112" s="24">
        <f t="shared" si="125"/>
      </c>
      <c r="AY112" s="24" t="str">
        <f>IF(AH112&gt;0,AI112-AV112,"New")</f>
        <v>New</v>
      </c>
      <c r="AZ112" s="156">
        <f>F112</f>
        <v>52272</v>
      </c>
      <c r="BA112" s="35">
        <f t="shared" si="128"/>
        <v>0.2376</v>
      </c>
      <c r="BB112" s="35">
        <f t="shared" si="129"/>
        <v>64.3896</v>
      </c>
      <c r="BC112" s="36">
        <f t="shared" si="130"/>
        <v>0</v>
      </c>
      <c r="BD112" s="36">
        <f>BB112+BC112</f>
        <v>64.3896</v>
      </c>
      <c r="BE112" s="36" t="str">
        <f>IF(BD112=K112,"yes","no")</f>
        <v>yes</v>
      </c>
      <c r="BF112" s="37">
        <f>IF(AM112="","",IF($F112&gt;0,($F112/AM112),IF($G112&gt;0,((((43560/($G112/12))*$H112)/$AM112)),0)))</f>
        <v>0.2376</v>
      </c>
      <c r="BG112" s="37">
        <f t="shared" si="134"/>
      </c>
      <c r="BH112" s="36">
        <f t="shared" si="135"/>
        <v>0</v>
      </c>
      <c r="BI112" s="38">
        <f>SUM(BG112:BH112)</f>
        <v>0</v>
      </c>
      <c r="BJ112" s="1" t="str">
        <f>IF(J112=BI112,"yes","no")</f>
        <v>yes</v>
      </c>
      <c r="BK112" s="37">
        <f t="shared" si="138"/>
      </c>
      <c r="BL112" s="37">
        <f>IF(BH112="","",IF(BH112=0,"",BC112-BH112))</f>
      </c>
      <c r="BM112" s="7">
        <f>IF(BK112="","",BD112-BI112)</f>
      </c>
      <c r="BN112" s="7" t="e">
        <f>R112-BM112</f>
        <v>#VALUE!</v>
      </c>
      <c r="BO112" s="7"/>
      <c r="BP112" s="7"/>
      <c r="BR112" s="7"/>
    </row>
    <row r="113" spans="2:66" ht="18" customHeight="1">
      <c r="B113" s="4" t="s">
        <v>12</v>
      </c>
      <c r="C113" s="4" t="s">
        <v>130</v>
      </c>
      <c r="D113" s="157" t="s">
        <v>70</v>
      </c>
      <c r="E113" s="158" t="s">
        <v>127</v>
      </c>
      <c r="F113" s="79">
        <f t="shared" si="100"/>
        <v>52272</v>
      </c>
      <c r="G113" s="80">
        <f t="shared" si="101"/>
        <v>40</v>
      </c>
      <c r="H113" s="149">
        <f t="shared" si="102"/>
        <v>4</v>
      </c>
      <c r="I113" s="150">
        <f t="shared" si="103"/>
        <v>58.596911999999996</v>
      </c>
      <c r="J113" s="83">
        <f t="shared" si="104"/>
        <v>55.76472000000001</v>
      </c>
      <c r="K113" s="84">
        <f t="shared" si="105"/>
        <v>58.14072</v>
      </c>
      <c r="L113" s="151">
        <f t="shared" si="106"/>
        <v>38.253600000000006</v>
      </c>
      <c r="M113" s="152">
        <f t="shared" si="107"/>
        <v>40.6296</v>
      </c>
      <c r="N113" s="188">
        <f t="shared" si="108"/>
        <v>0.06211180124223592</v>
      </c>
      <c r="O113" s="153">
        <f t="shared" si="109"/>
        <v>17.511120000000002</v>
      </c>
      <c r="P113" s="154">
        <f t="shared" si="110"/>
        <v>17.511120000000002</v>
      </c>
      <c r="Q113" s="176">
        <f t="shared" si="111"/>
        <v>0</v>
      </c>
      <c r="R113" s="100">
        <f t="shared" si="112"/>
        <v>2.3759999999999906</v>
      </c>
      <c r="S113" s="184">
        <f t="shared" si="113"/>
        <v>0.04260758414997852</v>
      </c>
      <c r="U113" s="208" t="s">
        <v>130</v>
      </c>
      <c r="V113" s="4" t="s">
        <v>12</v>
      </c>
      <c r="X113" s="32">
        <v>158</v>
      </c>
      <c r="Y113" s="32">
        <v>161</v>
      </c>
      <c r="Z113" s="32">
        <v>171</v>
      </c>
      <c r="AA113" s="32">
        <v>66.2</v>
      </c>
      <c r="AB113" s="32"/>
      <c r="AC113" s="32">
        <v>73.7</v>
      </c>
      <c r="AD113" s="32"/>
      <c r="AE113" s="32">
        <v>73.7</v>
      </c>
      <c r="AF113" s="32"/>
      <c r="AG113" s="32">
        <f t="shared" si="114"/>
        <v>224.2</v>
      </c>
      <c r="AH113" s="32">
        <f t="shared" si="115"/>
        <v>234.7</v>
      </c>
      <c r="AI113" s="32">
        <f t="shared" si="116"/>
        <v>244.7</v>
      </c>
      <c r="AJ113" s="26"/>
      <c r="AK113" s="33">
        <v>200000</v>
      </c>
      <c r="AL113" s="26"/>
      <c r="AM113" s="33">
        <v>220000</v>
      </c>
      <c r="AN113" s="26"/>
      <c r="AO113" s="33">
        <v>220000</v>
      </c>
      <c r="AP113" s="67">
        <f t="shared" si="117"/>
        <v>200000</v>
      </c>
      <c r="AQ113" s="34">
        <f t="shared" si="118"/>
        <v>110.00000000000001</v>
      </c>
      <c r="AR113" s="67">
        <f t="shared" si="119"/>
        <v>220000</v>
      </c>
      <c r="AS113" s="34">
        <f t="shared" si="120"/>
        <v>100</v>
      </c>
      <c r="AT113" s="28">
        <f t="shared" si="121"/>
        <v>161</v>
      </c>
      <c r="AU113" s="28">
        <f t="shared" si="122"/>
        <v>73.7</v>
      </c>
      <c r="AV113" s="28">
        <f t="shared" si="123"/>
        <v>234.7</v>
      </c>
      <c r="AW113" s="24">
        <f t="shared" si="124"/>
        <v>10</v>
      </c>
      <c r="AX113" s="24">
        <f t="shared" si="125"/>
        <v>0</v>
      </c>
      <c r="AY113" s="24">
        <f t="shared" si="126"/>
        <v>10</v>
      </c>
      <c r="AZ113" s="156">
        <f t="shared" si="127"/>
        <v>52272</v>
      </c>
      <c r="BA113" s="35">
        <f t="shared" si="128"/>
        <v>0.2376</v>
      </c>
      <c r="BB113" s="35">
        <f t="shared" si="129"/>
        <v>40.6296</v>
      </c>
      <c r="BC113" s="36">
        <f t="shared" si="130"/>
        <v>17.511120000000002</v>
      </c>
      <c r="BD113" s="36">
        <f t="shared" si="131"/>
        <v>58.14072</v>
      </c>
      <c r="BE113" s="36" t="str">
        <f t="shared" si="132"/>
        <v>yes</v>
      </c>
      <c r="BF113" s="37">
        <f t="shared" si="133"/>
        <v>0.2376</v>
      </c>
      <c r="BG113" s="37">
        <f t="shared" si="134"/>
        <v>38.253600000000006</v>
      </c>
      <c r="BH113" s="36">
        <f t="shared" si="135"/>
        <v>17.511120000000002</v>
      </c>
      <c r="BI113" s="38">
        <f t="shared" si="136"/>
        <v>55.76472000000001</v>
      </c>
      <c r="BJ113" s="1" t="str">
        <f t="shared" si="137"/>
        <v>yes</v>
      </c>
      <c r="BK113" s="37">
        <f t="shared" si="138"/>
        <v>2.3759999999999977</v>
      </c>
      <c r="BL113" s="37">
        <f t="shared" si="139"/>
        <v>0</v>
      </c>
      <c r="BM113" s="7">
        <f t="shared" si="140"/>
        <v>2.3759999999999906</v>
      </c>
      <c r="BN113" s="7">
        <f t="shared" si="141"/>
        <v>0</v>
      </c>
    </row>
    <row r="114" spans="2:66" ht="18" customHeight="1">
      <c r="B114" s="4" t="s">
        <v>12</v>
      </c>
      <c r="C114" s="4" t="s">
        <v>25</v>
      </c>
      <c r="D114" s="157" t="s">
        <v>157</v>
      </c>
      <c r="E114" s="158" t="s">
        <v>150</v>
      </c>
      <c r="F114" s="79">
        <f t="shared" si="100"/>
        <v>52272</v>
      </c>
      <c r="G114" s="80">
        <f t="shared" si="101"/>
        <v>40</v>
      </c>
      <c r="H114" s="149">
        <f t="shared" si="102"/>
        <v>4</v>
      </c>
      <c r="I114" s="150">
        <f t="shared" si="103"/>
        <v>41.29488</v>
      </c>
      <c r="J114" s="83">
        <f t="shared" si="104"/>
        <v>38.253600000000006</v>
      </c>
      <c r="K114" s="84">
        <f t="shared" si="105"/>
        <v>40.6296</v>
      </c>
      <c r="L114" s="151">
        <f t="shared" si="106"/>
        <v>38.253600000000006</v>
      </c>
      <c r="M114" s="152">
        <f t="shared" si="107"/>
        <v>40.6296</v>
      </c>
      <c r="N114" s="188">
        <f t="shared" si="108"/>
        <v>0.06211180124223592</v>
      </c>
      <c r="O114" s="153">
        <f t="shared" si="109"/>
        <v>0</v>
      </c>
      <c r="P114" s="154">
        <f t="shared" si="110"/>
        <v>0</v>
      </c>
      <c r="Q114" s="176">
        <f t="shared" si="111"/>
      </c>
      <c r="R114" s="100">
        <f t="shared" si="112"/>
        <v>2.3759999999999977</v>
      </c>
      <c r="S114" s="184">
        <f t="shared" si="113"/>
        <v>0.062111801242235955</v>
      </c>
      <c r="U114" s="208" t="s">
        <v>25</v>
      </c>
      <c r="V114" s="4" t="s">
        <v>12</v>
      </c>
      <c r="X114" s="32">
        <v>158</v>
      </c>
      <c r="Y114" s="32">
        <v>161</v>
      </c>
      <c r="Z114" s="32">
        <v>171</v>
      </c>
      <c r="AA114" s="32"/>
      <c r="AB114" s="32"/>
      <c r="AC114" s="32"/>
      <c r="AD114" s="32"/>
      <c r="AE114" s="32"/>
      <c r="AF114" s="32"/>
      <c r="AG114" s="32">
        <f t="shared" si="114"/>
        <v>158</v>
      </c>
      <c r="AH114" s="32">
        <f t="shared" si="115"/>
        <v>161</v>
      </c>
      <c r="AI114" s="32">
        <f t="shared" si="116"/>
        <v>171</v>
      </c>
      <c r="AJ114" s="26"/>
      <c r="AK114" s="33">
        <v>200000</v>
      </c>
      <c r="AL114" s="26"/>
      <c r="AM114" s="33">
        <v>220000</v>
      </c>
      <c r="AN114" s="26"/>
      <c r="AO114" s="33">
        <v>220000</v>
      </c>
      <c r="AP114" s="67">
        <f t="shared" si="117"/>
        <v>200000</v>
      </c>
      <c r="AQ114" s="34">
        <f t="shared" si="118"/>
        <v>110.00000000000001</v>
      </c>
      <c r="AR114" s="67">
        <f t="shared" si="119"/>
        <v>220000</v>
      </c>
      <c r="AS114" s="34">
        <f t="shared" si="120"/>
        <v>100</v>
      </c>
      <c r="AT114" s="28">
        <f t="shared" si="121"/>
        <v>161</v>
      </c>
      <c r="AU114" s="28">
        <f t="shared" si="122"/>
      </c>
      <c r="AV114" s="28">
        <f t="shared" si="123"/>
        <v>161</v>
      </c>
      <c r="AW114" s="24">
        <f t="shared" si="124"/>
        <v>10</v>
      </c>
      <c r="AX114" s="24">
        <f t="shared" si="125"/>
      </c>
      <c r="AY114" s="24">
        <f t="shared" si="126"/>
        <v>10</v>
      </c>
      <c r="AZ114" s="156">
        <f t="shared" si="127"/>
        <v>52272</v>
      </c>
      <c r="BA114" s="35">
        <f t="shared" si="128"/>
        <v>0.2376</v>
      </c>
      <c r="BB114" s="35">
        <f t="shared" si="129"/>
        <v>40.6296</v>
      </c>
      <c r="BC114" s="36">
        <f t="shared" si="130"/>
        <v>0</v>
      </c>
      <c r="BD114" s="36">
        <f t="shared" si="131"/>
        <v>40.6296</v>
      </c>
      <c r="BE114" s="36" t="str">
        <f t="shared" si="132"/>
        <v>yes</v>
      </c>
      <c r="BF114" s="37">
        <f t="shared" si="133"/>
        <v>0.2376</v>
      </c>
      <c r="BG114" s="37">
        <f t="shared" si="134"/>
        <v>38.253600000000006</v>
      </c>
      <c r="BH114" s="36">
        <f t="shared" si="135"/>
        <v>0</v>
      </c>
      <c r="BI114" s="38">
        <f t="shared" si="136"/>
        <v>38.253600000000006</v>
      </c>
      <c r="BJ114" s="1" t="str">
        <f t="shared" si="137"/>
        <v>yes</v>
      </c>
      <c r="BK114" s="37">
        <f t="shared" si="138"/>
        <v>2.3759999999999977</v>
      </c>
      <c r="BL114" s="37">
        <f t="shared" si="139"/>
      </c>
      <c r="BM114" s="7">
        <f t="shared" si="140"/>
        <v>2.3759999999999977</v>
      </c>
      <c r="BN114" s="7">
        <f t="shared" si="141"/>
        <v>0</v>
      </c>
    </row>
    <row r="115" spans="2:66" ht="18" customHeight="1">
      <c r="B115" s="4" t="s">
        <v>12</v>
      </c>
      <c r="C115" s="29" t="s">
        <v>94</v>
      </c>
      <c r="D115" s="159" t="s">
        <v>70</v>
      </c>
      <c r="E115" s="158" t="s">
        <v>71</v>
      </c>
      <c r="F115" s="79">
        <f t="shared" si="100"/>
        <v>52272</v>
      </c>
      <c r="G115" s="80">
        <f t="shared" si="101"/>
        <v>40</v>
      </c>
      <c r="H115" s="149">
        <f t="shared" si="102"/>
        <v>4</v>
      </c>
      <c r="I115" s="150">
        <f t="shared" si="103"/>
        <v>42.91531199999999</v>
      </c>
      <c r="J115" s="83">
        <f t="shared" si="104"/>
        <v>38.895120000000006</v>
      </c>
      <c r="K115" s="84">
        <f t="shared" si="105"/>
        <v>42.45912</v>
      </c>
      <c r="L115" s="151">
        <f t="shared" si="106"/>
        <v>21.384</v>
      </c>
      <c r="M115" s="152">
        <f t="shared" si="107"/>
        <v>24.948</v>
      </c>
      <c r="N115" s="188">
        <f t="shared" si="108"/>
        <v>0.16666666666666674</v>
      </c>
      <c r="O115" s="153">
        <f t="shared" si="109"/>
        <v>17.511120000000002</v>
      </c>
      <c r="P115" s="154">
        <f t="shared" si="110"/>
        <v>17.511120000000002</v>
      </c>
      <c r="Q115" s="176">
        <f t="shared" si="111"/>
        <v>0</v>
      </c>
      <c r="R115" s="100">
        <f t="shared" si="112"/>
        <v>3.563999999999993</v>
      </c>
      <c r="S115" s="184">
        <f t="shared" si="113"/>
        <v>0.09163103237629791</v>
      </c>
      <c r="U115" s="207" t="s">
        <v>94</v>
      </c>
      <c r="V115" s="4" t="s">
        <v>12</v>
      </c>
      <c r="X115" s="162">
        <v>98</v>
      </c>
      <c r="Y115" s="162">
        <v>90</v>
      </c>
      <c r="Z115" s="162">
        <v>105</v>
      </c>
      <c r="AA115" s="31">
        <v>66.2</v>
      </c>
      <c r="AB115" s="31"/>
      <c r="AC115" s="31">
        <v>73.7</v>
      </c>
      <c r="AD115" s="31"/>
      <c r="AE115" s="31">
        <v>73.7</v>
      </c>
      <c r="AF115" s="31"/>
      <c r="AG115" s="32">
        <f t="shared" si="114"/>
        <v>164.2</v>
      </c>
      <c r="AH115" s="32">
        <f t="shared" si="115"/>
        <v>163.7</v>
      </c>
      <c r="AI115" s="32">
        <f t="shared" si="116"/>
        <v>178.7</v>
      </c>
      <c r="AJ115" s="33"/>
      <c r="AK115" s="33">
        <v>200000</v>
      </c>
      <c r="AL115" s="33"/>
      <c r="AM115" s="33">
        <v>220000</v>
      </c>
      <c r="AN115" s="33"/>
      <c r="AO115" s="33">
        <v>220000</v>
      </c>
      <c r="AP115" s="67">
        <f t="shared" si="117"/>
        <v>200000</v>
      </c>
      <c r="AQ115" s="34">
        <f t="shared" si="118"/>
        <v>110.00000000000001</v>
      </c>
      <c r="AR115" s="67">
        <f t="shared" si="119"/>
        <v>220000</v>
      </c>
      <c r="AS115" s="34">
        <f t="shared" si="120"/>
        <v>100</v>
      </c>
      <c r="AT115" s="28">
        <f t="shared" si="121"/>
        <v>90</v>
      </c>
      <c r="AU115" s="28">
        <f t="shared" si="122"/>
        <v>73.7</v>
      </c>
      <c r="AV115" s="28">
        <f t="shared" si="123"/>
        <v>163.7</v>
      </c>
      <c r="AW115" s="24">
        <f t="shared" si="124"/>
        <v>15</v>
      </c>
      <c r="AX115" s="24">
        <f t="shared" si="125"/>
        <v>0</v>
      </c>
      <c r="AY115" s="24">
        <f t="shared" si="126"/>
        <v>15</v>
      </c>
      <c r="AZ115" s="156">
        <f t="shared" si="127"/>
        <v>52272</v>
      </c>
      <c r="BA115" s="35">
        <f t="shared" si="128"/>
        <v>0.2376</v>
      </c>
      <c r="BB115" s="35">
        <f t="shared" si="129"/>
        <v>24.948</v>
      </c>
      <c r="BC115" s="36">
        <f t="shared" si="130"/>
        <v>17.511120000000002</v>
      </c>
      <c r="BD115" s="36">
        <f t="shared" si="131"/>
        <v>42.45912</v>
      </c>
      <c r="BE115" s="36" t="str">
        <f t="shared" si="132"/>
        <v>yes</v>
      </c>
      <c r="BF115" s="37">
        <f t="shared" si="133"/>
        <v>0.2376</v>
      </c>
      <c r="BG115" s="37">
        <f t="shared" si="134"/>
        <v>21.384</v>
      </c>
      <c r="BH115" s="36">
        <f t="shared" si="135"/>
        <v>17.511120000000002</v>
      </c>
      <c r="BI115" s="38">
        <f t="shared" si="136"/>
        <v>38.895120000000006</v>
      </c>
      <c r="BJ115" s="1" t="str">
        <f t="shared" si="137"/>
        <v>yes</v>
      </c>
      <c r="BK115" s="37">
        <f t="shared" si="138"/>
        <v>3.564</v>
      </c>
      <c r="BL115" s="37">
        <f t="shared" si="139"/>
        <v>0</v>
      </c>
      <c r="BM115" s="7">
        <f t="shared" si="140"/>
        <v>3.563999999999993</v>
      </c>
      <c r="BN115" s="7">
        <f t="shared" si="141"/>
        <v>0</v>
      </c>
    </row>
    <row r="116" spans="2:66" ht="18" customHeight="1">
      <c r="B116" s="4" t="s">
        <v>12</v>
      </c>
      <c r="C116" s="4" t="s">
        <v>25</v>
      </c>
      <c r="D116" s="205" t="s">
        <v>70</v>
      </c>
      <c r="E116" s="192" t="s">
        <v>136</v>
      </c>
      <c r="F116" s="79">
        <f t="shared" si="100"/>
        <v>52272</v>
      </c>
      <c r="G116" s="80">
        <f t="shared" si="101"/>
        <v>40</v>
      </c>
      <c r="H116" s="149">
        <f t="shared" si="102"/>
        <v>4</v>
      </c>
      <c r="I116" s="150">
        <f t="shared" si="103"/>
        <v>41.29488</v>
      </c>
      <c r="J116" s="83">
        <f t="shared" si="104"/>
        <v>38.253600000000006</v>
      </c>
      <c r="K116" s="84">
        <f t="shared" si="105"/>
        <v>40.6296</v>
      </c>
      <c r="L116" s="151">
        <f t="shared" si="106"/>
        <v>38.253600000000006</v>
      </c>
      <c r="M116" s="152">
        <f t="shared" si="107"/>
        <v>40.6296</v>
      </c>
      <c r="N116" s="188">
        <f t="shared" si="108"/>
        <v>0.06211180124223592</v>
      </c>
      <c r="O116" s="153">
        <f t="shared" si="109"/>
        <v>0</v>
      </c>
      <c r="P116" s="154">
        <f t="shared" si="110"/>
        <v>0</v>
      </c>
      <c r="Q116" s="176">
        <f t="shared" si="111"/>
      </c>
      <c r="R116" s="100">
        <f t="shared" si="112"/>
        <v>2.3759999999999977</v>
      </c>
      <c r="S116" s="184">
        <f t="shared" si="113"/>
        <v>0.062111801242235955</v>
      </c>
      <c r="U116" s="208" t="s">
        <v>25</v>
      </c>
      <c r="V116" s="4" t="s">
        <v>12</v>
      </c>
      <c r="X116" s="32">
        <v>158</v>
      </c>
      <c r="Y116" s="32">
        <v>161</v>
      </c>
      <c r="Z116" s="32">
        <v>171</v>
      </c>
      <c r="AA116" s="32"/>
      <c r="AB116" s="32"/>
      <c r="AC116" s="32"/>
      <c r="AD116" s="32"/>
      <c r="AE116" s="32"/>
      <c r="AF116" s="32"/>
      <c r="AG116" s="32">
        <f t="shared" si="114"/>
        <v>158</v>
      </c>
      <c r="AH116" s="32">
        <f t="shared" si="115"/>
        <v>161</v>
      </c>
      <c r="AI116" s="32">
        <f t="shared" si="116"/>
        <v>171</v>
      </c>
      <c r="AJ116" s="26"/>
      <c r="AK116" s="33">
        <v>200000</v>
      </c>
      <c r="AL116" s="26"/>
      <c r="AM116" s="33">
        <v>220000</v>
      </c>
      <c r="AN116" s="26"/>
      <c r="AO116" s="33">
        <v>220000</v>
      </c>
      <c r="AP116" s="67">
        <f t="shared" si="117"/>
        <v>200000</v>
      </c>
      <c r="AQ116" s="34">
        <f t="shared" si="118"/>
        <v>110.00000000000001</v>
      </c>
      <c r="AR116" s="67">
        <f t="shared" si="119"/>
        <v>220000</v>
      </c>
      <c r="AS116" s="34">
        <f t="shared" si="120"/>
        <v>100</v>
      </c>
      <c r="AT116" s="28">
        <f t="shared" si="121"/>
        <v>161</v>
      </c>
      <c r="AU116" s="28">
        <f t="shared" si="122"/>
      </c>
      <c r="AV116" s="28">
        <f t="shared" si="123"/>
        <v>161</v>
      </c>
      <c r="AW116" s="24">
        <f t="shared" si="124"/>
        <v>10</v>
      </c>
      <c r="AX116" s="24">
        <f t="shared" si="125"/>
      </c>
      <c r="AY116" s="24">
        <f t="shared" si="126"/>
        <v>10</v>
      </c>
      <c r="AZ116" s="156">
        <f t="shared" si="127"/>
        <v>52272</v>
      </c>
      <c r="BA116" s="35">
        <f t="shared" si="128"/>
        <v>0.2376</v>
      </c>
      <c r="BB116" s="35">
        <f t="shared" si="129"/>
        <v>40.6296</v>
      </c>
      <c r="BC116" s="36">
        <f t="shared" si="130"/>
        <v>0</v>
      </c>
      <c r="BD116" s="36">
        <f t="shared" si="131"/>
        <v>40.6296</v>
      </c>
      <c r="BE116" s="36" t="str">
        <f t="shared" si="132"/>
        <v>yes</v>
      </c>
      <c r="BF116" s="37">
        <f t="shared" si="133"/>
        <v>0.2376</v>
      </c>
      <c r="BG116" s="37">
        <f t="shared" si="134"/>
        <v>38.253600000000006</v>
      </c>
      <c r="BH116" s="36">
        <f t="shared" si="135"/>
        <v>0</v>
      </c>
      <c r="BI116" s="38">
        <f t="shared" si="136"/>
        <v>38.253600000000006</v>
      </c>
      <c r="BJ116" s="1" t="str">
        <f t="shared" si="137"/>
        <v>yes</v>
      </c>
      <c r="BK116" s="37">
        <f t="shared" si="138"/>
        <v>2.3759999999999977</v>
      </c>
      <c r="BL116" s="37">
        <f t="shared" si="139"/>
      </c>
      <c r="BM116" s="7">
        <f t="shared" si="140"/>
        <v>2.3759999999999977</v>
      </c>
      <c r="BN116" s="7">
        <f t="shared" si="141"/>
        <v>0</v>
      </c>
    </row>
    <row r="117" spans="2:66" ht="18" customHeight="1">
      <c r="B117" s="4" t="s">
        <v>12</v>
      </c>
      <c r="C117" s="4" t="s">
        <v>130</v>
      </c>
      <c r="D117" s="157" t="s">
        <v>70</v>
      </c>
      <c r="E117" s="158" t="s">
        <v>128</v>
      </c>
      <c r="F117" s="79">
        <f t="shared" si="100"/>
        <v>52272</v>
      </c>
      <c r="G117" s="80">
        <f t="shared" si="101"/>
        <v>40</v>
      </c>
      <c r="H117" s="149">
        <f t="shared" si="102"/>
        <v>4</v>
      </c>
      <c r="I117" s="150">
        <f t="shared" si="103"/>
        <v>58.596911999999996</v>
      </c>
      <c r="J117" s="83">
        <f t="shared" si="104"/>
        <v>55.76472000000001</v>
      </c>
      <c r="K117" s="84">
        <f t="shared" si="105"/>
        <v>58.14072</v>
      </c>
      <c r="L117" s="151">
        <f t="shared" si="106"/>
        <v>38.253600000000006</v>
      </c>
      <c r="M117" s="152">
        <f t="shared" si="107"/>
        <v>40.6296</v>
      </c>
      <c r="N117" s="188">
        <f t="shared" si="108"/>
        <v>0.06211180124223592</v>
      </c>
      <c r="O117" s="153">
        <f t="shared" si="109"/>
        <v>17.511120000000002</v>
      </c>
      <c r="P117" s="154">
        <f t="shared" si="110"/>
        <v>17.511120000000002</v>
      </c>
      <c r="Q117" s="176">
        <f t="shared" si="111"/>
        <v>0</v>
      </c>
      <c r="R117" s="100">
        <f t="shared" si="112"/>
        <v>2.3759999999999906</v>
      </c>
      <c r="S117" s="184">
        <f t="shared" si="113"/>
        <v>0.04260758414997852</v>
      </c>
      <c r="U117" s="208" t="s">
        <v>130</v>
      </c>
      <c r="V117" s="4" t="s">
        <v>12</v>
      </c>
      <c r="X117" s="32">
        <v>158</v>
      </c>
      <c r="Y117" s="32">
        <v>161</v>
      </c>
      <c r="Z117" s="32">
        <v>171</v>
      </c>
      <c r="AA117" s="32">
        <v>66.2</v>
      </c>
      <c r="AB117" s="32"/>
      <c r="AC117" s="32">
        <v>73.7</v>
      </c>
      <c r="AD117" s="32"/>
      <c r="AE117" s="32">
        <v>73.7</v>
      </c>
      <c r="AF117" s="32"/>
      <c r="AG117" s="32">
        <f t="shared" si="114"/>
        <v>224.2</v>
      </c>
      <c r="AH117" s="32">
        <f t="shared" si="115"/>
        <v>234.7</v>
      </c>
      <c r="AI117" s="32">
        <f t="shared" si="116"/>
        <v>244.7</v>
      </c>
      <c r="AJ117" s="26"/>
      <c r="AK117" s="33">
        <v>200000</v>
      </c>
      <c r="AL117" s="26"/>
      <c r="AM117" s="33">
        <v>220000</v>
      </c>
      <c r="AN117" s="26"/>
      <c r="AO117" s="33">
        <v>220000</v>
      </c>
      <c r="AP117" s="67">
        <f t="shared" si="117"/>
        <v>200000</v>
      </c>
      <c r="AQ117" s="34">
        <f t="shared" si="118"/>
        <v>110.00000000000001</v>
      </c>
      <c r="AR117" s="67">
        <f t="shared" si="119"/>
        <v>220000</v>
      </c>
      <c r="AS117" s="34">
        <f t="shared" si="120"/>
        <v>100</v>
      </c>
      <c r="AT117" s="28">
        <f t="shared" si="121"/>
        <v>161</v>
      </c>
      <c r="AU117" s="28">
        <f t="shared" si="122"/>
        <v>73.7</v>
      </c>
      <c r="AV117" s="28">
        <f t="shared" si="123"/>
        <v>234.7</v>
      </c>
      <c r="AW117" s="24">
        <f t="shared" si="124"/>
        <v>10</v>
      </c>
      <c r="AX117" s="24">
        <f t="shared" si="125"/>
        <v>0</v>
      </c>
      <c r="AY117" s="24">
        <f t="shared" si="126"/>
        <v>10</v>
      </c>
      <c r="AZ117" s="156">
        <f t="shared" si="127"/>
        <v>52272</v>
      </c>
      <c r="BA117" s="35">
        <f t="shared" si="128"/>
        <v>0.2376</v>
      </c>
      <c r="BB117" s="35">
        <f t="shared" si="129"/>
        <v>40.6296</v>
      </c>
      <c r="BC117" s="36">
        <f t="shared" si="130"/>
        <v>17.511120000000002</v>
      </c>
      <c r="BD117" s="36">
        <f t="shared" si="131"/>
        <v>58.14072</v>
      </c>
      <c r="BE117" s="36" t="str">
        <f t="shared" si="132"/>
        <v>yes</v>
      </c>
      <c r="BF117" s="37">
        <f t="shared" si="133"/>
        <v>0.2376</v>
      </c>
      <c r="BG117" s="37">
        <f t="shared" si="134"/>
        <v>38.253600000000006</v>
      </c>
      <c r="BH117" s="36">
        <f t="shared" si="135"/>
        <v>17.511120000000002</v>
      </c>
      <c r="BI117" s="38">
        <f t="shared" si="136"/>
        <v>55.76472000000001</v>
      </c>
      <c r="BJ117" s="1" t="str">
        <f t="shared" si="137"/>
        <v>yes</v>
      </c>
      <c r="BK117" s="37">
        <f t="shared" si="138"/>
        <v>2.3759999999999977</v>
      </c>
      <c r="BL117" s="37">
        <f t="shared" si="139"/>
        <v>0</v>
      </c>
      <c r="BM117" s="7">
        <f t="shared" si="140"/>
        <v>2.3759999999999906</v>
      </c>
      <c r="BN117" s="7">
        <f t="shared" si="141"/>
        <v>0</v>
      </c>
    </row>
    <row r="118" spans="2:66" ht="18" customHeight="1">
      <c r="B118" s="4" t="s">
        <v>12</v>
      </c>
      <c r="C118" s="4" t="s">
        <v>97</v>
      </c>
      <c r="D118" s="157" t="s">
        <v>116</v>
      </c>
      <c r="E118" s="158" t="s">
        <v>18</v>
      </c>
      <c r="F118" s="79">
        <f t="shared" si="100"/>
        <v>52272</v>
      </c>
      <c r="G118" s="80">
        <f t="shared" si="101"/>
        <v>40</v>
      </c>
      <c r="H118" s="149">
        <f t="shared" si="102"/>
        <v>4</v>
      </c>
      <c r="I118" s="150">
        <f t="shared" si="103"/>
        <v>65.287728</v>
      </c>
      <c r="J118" s="83">
        <f t="shared" si="104"/>
        <v>52.681085217391306</v>
      </c>
      <c r="K118" s="84">
        <f t="shared" si="105"/>
        <v>52.681085217391306</v>
      </c>
      <c r="L118" s="151">
        <f t="shared" si="106"/>
        <v>20.454260869565218</v>
      </c>
      <c r="M118" s="152">
        <f t="shared" si="107"/>
        <v>20.454260869565218</v>
      </c>
      <c r="N118" s="188">
        <f t="shared" si="108"/>
        <v>0</v>
      </c>
      <c r="O118" s="153">
        <f t="shared" si="109"/>
        <v>32.22682434782609</v>
      </c>
      <c r="P118" s="154">
        <f t="shared" si="110"/>
        <v>32.22682434782609</v>
      </c>
      <c r="Q118" s="176">
        <f t="shared" si="111"/>
        <v>0</v>
      </c>
      <c r="R118" s="100">
        <f t="shared" si="112"/>
        <v>0</v>
      </c>
      <c r="S118" s="184">
        <f t="shared" si="113"/>
        <v>0</v>
      </c>
      <c r="U118" s="208" t="s">
        <v>97</v>
      </c>
      <c r="V118" s="4" t="s">
        <v>12</v>
      </c>
      <c r="X118" s="32">
        <v>118</v>
      </c>
      <c r="Y118" s="32">
        <v>90</v>
      </c>
      <c r="Z118" s="32">
        <v>90</v>
      </c>
      <c r="AA118" s="32">
        <v>131.8</v>
      </c>
      <c r="AB118" s="32"/>
      <c r="AC118" s="32">
        <v>141.8</v>
      </c>
      <c r="AD118" s="32"/>
      <c r="AE118" s="32">
        <v>141.8</v>
      </c>
      <c r="AF118" s="32"/>
      <c r="AG118" s="32">
        <f t="shared" si="114"/>
        <v>249.8</v>
      </c>
      <c r="AH118" s="32">
        <f t="shared" si="115"/>
        <v>231.8</v>
      </c>
      <c r="AI118" s="32">
        <f t="shared" si="116"/>
        <v>231.8</v>
      </c>
      <c r="AJ118" s="26"/>
      <c r="AK118" s="33">
        <v>200000</v>
      </c>
      <c r="AL118" s="26"/>
      <c r="AM118" s="33">
        <v>230000</v>
      </c>
      <c r="AN118" s="26"/>
      <c r="AO118" s="33">
        <v>230000</v>
      </c>
      <c r="AP118" s="67">
        <f t="shared" si="117"/>
        <v>200000</v>
      </c>
      <c r="AQ118" s="34">
        <f t="shared" si="118"/>
        <v>114.99999999999999</v>
      </c>
      <c r="AR118" s="67">
        <f t="shared" si="119"/>
        <v>230000</v>
      </c>
      <c r="AS118" s="34">
        <f t="shared" si="120"/>
        <v>100</v>
      </c>
      <c r="AT118" s="28">
        <f t="shared" si="121"/>
        <v>90</v>
      </c>
      <c r="AU118" s="28">
        <f t="shared" si="122"/>
        <v>141.8</v>
      </c>
      <c r="AV118" s="28">
        <f t="shared" si="123"/>
        <v>231.8</v>
      </c>
      <c r="AW118" s="24">
        <f t="shared" si="124"/>
        <v>0</v>
      </c>
      <c r="AX118" s="24">
        <f t="shared" si="125"/>
        <v>0</v>
      </c>
      <c r="AY118" s="24">
        <f t="shared" si="126"/>
        <v>0</v>
      </c>
      <c r="AZ118" s="156">
        <f t="shared" si="127"/>
        <v>52272</v>
      </c>
      <c r="BA118" s="35">
        <f t="shared" si="128"/>
        <v>0.2272695652173913</v>
      </c>
      <c r="BB118" s="35">
        <f t="shared" si="129"/>
        <v>20.454260869565218</v>
      </c>
      <c r="BC118" s="36">
        <f t="shared" si="130"/>
        <v>32.22682434782609</v>
      </c>
      <c r="BD118" s="36">
        <f t="shared" si="131"/>
        <v>52.681085217391306</v>
      </c>
      <c r="BE118" s="36" t="str">
        <f t="shared" si="132"/>
        <v>yes</v>
      </c>
      <c r="BF118" s="37">
        <f t="shared" si="133"/>
        <v>0.2272695652173913</v>
      </c>
      <c r="BG118" s="37">
        <f t="shared" si="134"/>
        <v>20.454260869565218</v>
      </c>
      <c r="BH118" s="36">
        <f t="shared" si="135"/>
        <v>32.22682434782609</v>
      </c>
      <c r="BI118" s="38">
        <f t="shared" si="136"/>
        <v>52.681085217391306</v>
      </c>
      <c r="BJ118" s="1" t="str">
        <f t="shared" si="137"/>
        <v>yes</v>
      </c>
      <c r="BK118" s="37">
        <f t="shared" si="138"/>
        <v>0</v>
      </c>
      <c r="BL118" s="37">
        <f t="shared" si="139"/>
        <v>0</v>
      </c>
      <c r="BM118" s="7">
        <f t="shared" si="140"/>
        <v>0</v>
      </c>
      <c r="BN118" s="7">
        <f t="shared" si="141"/>
        <v>0</v>
      </c>
    </row>
    <row r="119" spans="2:66" ht="18" customHeight="1">
      <c r="B119" s="4" t="s">
        <v>12</v>
      </c>
      <c r="C119" s="4" t="s">
        <v>97</v>
      </c>
      <c r="D119" s="157" t="s">
        <v>116</v>
      </c>
      <c r="E119" s="158" t="s">
        <v>19</v>
      </c>
      <c r="F119" s="79">
        <f t="shared" si="100"/>
        <v>52272</v>
      </c>
      <c r="G119" s="80">
        <f t="shared" si="101"/>
        <v>40</v>
      </c>
      <c r="H119" s="149">
        <f t="shared" si="102"/>
        <v>4</v>
      </c>
      <c r="I119" s="150">
        <f t="shared" si="103"/>
        <v>65.287728</v>
      </c>
      <c r="J119" s="83">
        <f t="shared" si="104"/>
        <v>52.681085217391306</v>
      </c>
      <c r="K119" s="84">
        <f t="shared" si="105"/>
        <v>52.681085217391306</v>
      </c>
      <c r="L119" s="151">
        <f t="shared" si="106"/>
        <v>20.454260869565218</v>
      </c>
      <c r="M119" s="152">
        <f t="shared" si="107"/>
        <v>20.454260869565218</v>
      </c>
      <c r="N119" s="188">
        <f t="shared" si="108"/>
        <v>0</v>
      </c>
      <c r="O119" s="153">
        <f t="shared" si="109"/>
        <v>32.22682434782609</v>
      </c>
      <c r="P119" s="154">
        <f t="shared" si="110"/>
        <v>32.22682434782609</v>
      </c>
      <c r="Q119" s="176">
        <f t="shared" si="111"/>
        <v>0</v>
      </c>
      <c r="R119" s="100">
        <f t="shared" si="112"/>
        <v>0</v>
      </c>
      <c r="S119" s="184">
        <f t="shared" si="113"/>
        <v>0</v>
      </c>
      <c r="U119" s="208" t="s">
        <v>97</v>
      </c>
      <c r="V119" s="4" t="s">
        <v>12</v>
      </c>
      <c r="X119" s="32">
        <v>118</v>
      </c>
      <c r="Y119" s="32">
        <v>90</v>
      </c>
      <c r="Z119" s="32">
        <v>90</v>
      </c>
      <c r="AA119" s="32">
        <v>131.8</v>
      </c>
      <c r="AB119" s="32"/>
      <c r="AC119" s="32">
        <v>141.8</v>
      </c>
      <c r="AD119" s="32"/>
      <c r="AE119" s="32">
        <v>141.8</v>
      </c>
      <c r="AF119" s="32"/>
      <c r="AG119" s="32">
        <f t="shared" si="114"/>
        <v>249.8</v>
      </c>
      <c r="AH119" s="32">
        <f t="shared" si="115"/>
        <v>231.8</v>
      </c>
      <c r="AI119" s="32">
        <f t="shared" si="116"/>
        <v>231.8</v>
      </c>
      <c r="AJ119" s="26"/>
      <c r="AK119" s="33">
        <v>200000</v>
      </c>
      <c r="AL119" s="26"/>
      <c r="AM119" s="33">
        <v>230000</v>
      </c>
      <c r="AN119" s="26"/>
      <c r="AO119" s="33">
        <v>230000</v>
      </c>
      <c r="AP119" s="67">
        <f t="shared" si="117"/>
        <v>200000</v>
      </c>
      <c r="AQ119" s="34">
        <f t="shared" si="118"/>
        <v>114.99999999999999</v>
      </c>
      <c r="AR119" s="67">
        <f t="shared" si="119"/>
        <v>230000</v>
      </c>
      <c r="AS119" s="34">
        <f t="shared" si="120"/>
        <v>100</v>
      </c>
      <c r="AT119" s="28">
        <f t="shared" si="121"/>
        <v>90</v>
      </c>
      <c r="AU119" s="28">
        <f t="shared" si="122"/>
        <v>141.8</v>
      </c>
      <c r="AV119" s="28">
        <f t="shared" si="123"/>
        <v>231.8</v>
      </c>
      <c r="AW119" s="24">
        <f t="shared" si="124"/>
        <v>0</v>
      </c>
      <c r="AX119" s="24">
        <f t="shared" si="125"/>
        <v>0</v>
      </c>
      <c r="AY119" s="24">
        <f t="shared" si="126"/>
        <v>0</v>
      </c>
      <c r="AZ119" s="156">
        <f t="shared" si="127"/>
        <v>52272</v>
      </c>
      <c r="BA119" s="35">
        <f t="shared" si="128"/>
        <v>0.2272695652173913</v>
      </c>
      <c r="BB119" s="35">
        <f t="shared" si="129"/>
        <v>20.454260869565218</v>
      </c>
      <c r="BC119" s="36">
        <f t="shared" si="130"/>
        <v>32.22682434782609</v>
      </c>
      <c r="BD119" s="36">
        <f t="shared" si="131"/>
        <v>52.681085217391306</v>
      </c>
      <c r="BE119" s="36" t="str">
        <f t="shared" si="132"/>
        <v>yes</v>
      </c>
      <c r="BF119" s="37">
        <f t="shared" si="133"/>
        <v>0.2272695652173913</v>
      </c>
      <c r="BG119" s="37">
        <f t="shared" si="134"/>
        <v>20.454260869565218</v>
      </c>
      <c r="BH119" s="36">
        <f t="shared" si="135"/>
        <v>32.22682434782609</v>
      </c>
      <c r="BI119" s="38">
        <f t="shared" si="136"/>
        <v>52.681085217391306</v>
      </c>
      <c r="BJ119" s="1" t="str">
        <f t="shared" si="137"/>
        <v>yes</v>
      </c>
      <c r="BK119" s="37">
        <f t="shared" si="138"/>
        <v>0</v>
      </c>
      <c r="BL119" s="37">
        <f t="shared" si="139"/>
        <v>0</v>
      </c>
      <c r="BM119" s="7">
        <f t="shared" si="140"/>
        <v>0</v>
      </c>
      <c r="BN119" s="7">
        <f t="shared" si="141"/>
        <v>0</v>
      </c>
    </row>
    <row r="120" spans="2:66" ht="18" customHeight="1">
      <c r="B120" s="4" t="s">
        <v>12</v>
      </c>
      <c r="C120" s="4" t="s">
        <v>97</v>
      </c>
      <c r="D120" s="157" t="s">
        <v>116</v>
      </c>
      <c r="E120" s="158" t="s">
        <v>193</v>
      </c>
      <c r="F120" s="79">
        <f t="shared" si="100"/>
        <v>52272</v>
      </c>
      <c r="G120" s="80">
        <f t="shared" si="101"/>
        <v>40</v>
      </c>
      <c r="H120" s="149">
        <f t="shared" si="102"/>
        <v>4</v>
      </c>
      <c r="I120" s="150">
        <f t="shared" si="103"/>
        <v>56.77193739130435</v>
      </c>
      <c r="J120" s="83">
        <f t="shared" si="104"/>
        <v>52.681085217391306</v>
      </c>
      <c r="K120" s="84">
        <f t="shared" si="105"/>
        <v>52.681085217391306</v>
      </c>
      <c r="L120" s="151">
        <f t="shared" si="106"/>
        <v>20.454260869565218</v>
      </c>
      <c r="M120" s="152">
        <f t="shared" si="107"/>
        <v>20.454260869565218</v>
      </c>
      <c r="N120" s="188">
        <f t="shared" si="108"/>
        <v>0</v>
      </c>
      <c r="O120" s="153">
        <f t="shared" si="109"/>
        <v>32.22682434782609</v>
      </c>
      <c r="P120" s="154">
        <f t="shared" si="110"/>
        <v>32.22682434782609</v>
      </c>
      <c r="Q120" s="176">
        <f t="shared" si="111"/>
        <v>0</v>
      </c>
      <c r="R120" s="100">
        <f t="shared" si="112"/>
        <v>0</v>
      </c>
      <c r="S120" s="184">
        <f t="shared" si="113"/>
        <v>0</v>
      </c>
      <c r="U120" s="208" t="s">
        <v>97</v>
      </c>
      <c r="V120" s="4" t="s">
        <v>12</v>
      </c>
      <c r="X120" s="163">
        <v>118</v>
      </c>
      <c r="Y120" s="163">
        <v>90</v>
      </c>
      <c r="Z120" s="163">
        <v>90</v>
      </c>
      <c r="AA120" s="206">
        <v>131.8</v>
      </c>
      <c r="AB120" s="163"/>
      <c r="AC120" s="206">
        <v>141.8</v>
      </c>
      <c r="AD120" s="163"/>
      <c r="AE120" s="206">
        <v>141.8</v>
      </c>
      <c r="AF120" s="163"/>
      <c r="AG120" s="32">
        <f t="shared" si="114"/>
        <v>249.8</v>
      </c>
      <c r="AH120" s="32">
        <f t="shared" si="115"/>
        <v>231.8</v>
      </c>
      <c r="AI120" s="32">
        <f t="shared" si="116"/>
        <v>231.8</v>
      </c>
      <c r="AJ120" s="33"/>
      <c r="AK120" s="33">
        <v>230000</v>
      </c>
      <c r="AL120" s="33"/>
      <c r="AM120" s="33">
        <v>230000</v>
      </c>
      <c r="AN120" s="33"/>
      <c r="AO120" s="33">
        <v>230000</v>
      </c>
      <c r="AP120" s="67">
        <f t="shared" si="117"/>
        <v>230000</v>
      </c>
      <c r="AQ120" s="34">
        <f t="shared" si="118"/>
        <v>100</v>
      </c>
      <c r="AR120" s="67">
        <f t="shared" si="119"/>
        <v>230000</v>
      </c>
      <c r="AS120" s="34">
        <f t="shared" si="120"/>
        <v>100</v>
      </c>
      <c r="AT120" s="28">
        <f t="shared" si="121"/>
        <v>90</v>
      </c>
      <c r="AU120" s="28">
        <f t="shared" si="122"/>
        <v>141.8</v>
      </c>
      <c r="AV120" s="28">
        <f t="shared" si="123"/>
        <v>231.8</v>
      </c>
      <c r="AW120" s="24">
        <f t="shared" si="124"/>
        <v>0</v>
      </c>
      <c r="AX120" s="24">
        <f t="shared" si="125"/>
        <v>0</v>
      </c>
      <c r="AY120" s="24">
        <f t="shared" si="126"/>
        <v>0</v>
      </c>
      <c r="AZ120" s="156">
        <f t="shared" si="127"/>
        <v>52272</v>
      </c>
      <c r="BA120" s="35">
        <f t="shared" si="128"/>
        <v>0.2272695652173913</v>
      </c>
      <c r="BB120" s="35">
        <f t="shared" si="129"/>
        <v>20.454260869565218</v>
      </c>
      <c r="BC120" s="36">
        <f t="shared" si="130"/>
        <v>32.22682434782609</v>
      </c>
      <c r="BD120" s="36">
        <f t="shared" si="131"/>
        <v>52.681085217391306</v>
      </c>
      <c r="BE120" s="36" t="str">
        <f t="shared" si="132"/>
        <v>yes</v>
      </c>
      <c r="BF120" s="37">
        <f t="shared" si="133"/>
        <v>0.2272695652173913</v>
      </c>
      <c r="BG120" s="37">
        <f t="shared" si="134"/>
        <v>20.454260869565218</v>
      </c>
      <c r="BH120" s="36">
        <f t="shared" si="135"/>
        <v>32.22682434782609</v>
      </c>
      <c r="BI120" s="38">
        <f t="shared" si="136"/>
        <v>52.681085217391306</v>
      </c>
      <c r="BJ120" s="1" t="str">
        <f t="shared" si="137"/>
        <v>yes</v>
      </c>
      <c r="BK120" s="37">
        <f t="shared" si="138"/>
        <v>0</v>
      </c>
      <c r="BL120" s="37">
        <f t="shared" si="139"/>
        <v>0</v>
      </c>
      <c r="BM120" s="7">
        <f t="shared" si="140"/>
        <v>0</v>
      </c>
      <c r="BN120" s="7">
        <f t="shared" si="141"/>
        <v>0</v>
      </c>
    </row>
    <row r="121" spans="4:66" ht="18" customHeight="1">
      <c r="D121" s="157" t="s">
        <v>116</v>
      </c>
      <c r="E121" s="158" t="s">
        <v>33</v>
      </c>
      <c r="F121" s="79">
        <f t="shared" si="100"/>
        <v>52272</v>
      </c>
      <c r="G121" s="80">
        <f t="shared" si="101"/>
        <v>40</v>
      </c>
      <c r="H121" s="149">
        <f t="shared" si="102"/>
        <v>4</v>
      </c>
      <c r="I121" s="150">
        <f>IF(AK121="","",IF($F121&gt;0,($F121/$AK121)*AG121,IF($G121&gt;0,(((43560/($G121/12))*$H121)/$AK121)*AG121,0)))</f>
        <v>0</v>
      </c>
      <c r="J121" s="83">
        <f>BI121</f>
        <v>0</v>
      </c>
      <c r="K121" s="84">
        <f>BD121</f>
        <v>65.40818086956523</v>
      </c>
      <c r="L121" s="151">
        <f>BG121</f>
      </c>
      <c r="M121" s="152">
        <f>BB121</f>
        <v>24.545113043478263</v>
      </c>
      <c r="N121" s="188" t="str">
        <f>IF(R121="New","New",(M121/L121)-1)</f>
        <v>New</v>
      </c>
      <c r="O121" s="153">
        <f>IF(AW121="","",BH121)</f>
      </c>
      <c r="P121" s="154">
        <f>IF(BC121="","",BC121)</f>
        <v>40.86306782608696</v>
      </c>
      <c r="Q121" s="176" t="str">
        <f>IF(R121="New","New",IF(AX121="","",(P121/O121)-1))</f>
        <v>New</v>
      </c>
      <c r="R121" s="100" t="str">
        <f>IF(J121="","New",IF(J121=0,"New",K121-J121))</f>
        <v>New</v>
      </c>
      <c r="S121" s="184">
        <f>IF(R121="New","",R121/J121)</f>
      </c>
      <c r="U121" s="208" t="s">
        <v>34</v>
      </c>
      <c r="V121" s="4" t="s">
        <v>12</v>
      </c>
      <c r="X121" s="163"/>
      <c r="Y121" s="163"/>
      <c r="Z121" s="163">
        <v>108</v>
      </c>
      <c r="AA121" s="206"/>
      <c r="AB121" s="163"/>
      <c r="AC121" s="206"/>
      <c r="AD121" s="163"/>
      <c r="AE121" s="206">
        <v>179.8</v>
      </c>
      <c r="AF121" s="163"/>
      <c r="AG121" s="32">
        <f t="shared" si="114"/>
        <v>0</v>
      </c>
      <c r="AH121" s="32">
        <f t="shared" si="115"/>
        <v>0</v>
      </c>
      <c r="AI121" s="32">
        <f t="shared" si="116"/>
        <v>287.8</v>
      </c>
      <c r="AJ121" s="33"/>
      <c r="AK121" s="33">
        <v>230000</v>
      </c>
      <c r="AL121" s="33"/>
      <c r="AM121" s="33">
        <v>230000</v>
      </c>
      <c r="AN121" s="33"/>
      <c r="AO121" s="33">
        <v>230000</v>
      </c>
      <c r="AP121" s="67">
        <f>AK121</f>
        <v>230000</v>
      </c>
      <c r="AQ121" s="34">
        <f>IF(AK121&gt;0,AM121/AK121*100,"Not Avail.")</f>
        <v>100</v>
      </c>
      <c r="AR121" s="67">
        <f>AM121</f>
        <v>230000</v>
      </c>
      <c r="AS121" s="34">
        <f>IF(AM121&gt;0,AO121/AM121*100,"Not Avail.")</f>
        <v>100</v>
      </c>
      <c r="AT121" s="28">
        <f t="shared" si="121"/>
      </c>
      <c r="AU121" s="28">
        <f t="shared" si="122"/>
      </c>
      <c r="AV121" s="28">
        <f>IF(AT121="","",SUM(AT121:AU121))</f>
      </c>
      <c r="AW121" s="24">
        <f t="shared" si="124"/>
      </c>
      <c r="AX121" s="24">
        <f t="shared" si="125"/>
      </c>
      <c r="AY121" s="24" t="str">
        <f>IF(AH121&gt;0,AI121-AV121,"New")</f>
        <v>New</v>
      </c>
      <c r="AZ121" s="156">
        <f>F121</f>
        <v>52272</v>
      </c>
      <c r="BA121" s="35">
        <f t="shared" si="128"/>
        <v>0.2272695652173913</v>
      </c>
      <c r="BB121" s="35">
        <f t="shared" si="129"/>
        <v>24.545113043478263</v>
      </c>
      <c r="BC121" s="36">
        <f t="shared" si="130"/>
        <v>40.86306782608696</v>
      </c>
      <c r="BD121" s="36">
        <f>BB121+BC121</f>
        <v>65.40818086956523</v>
      </c>
      <c r="BE121" s="36" t="str">
        <f>IF(BD121=K121,"yes","no")</f>
        <v>yes</v>
      </c>
      <c r="BF121" s="37">
        <f>IF(AM121="","",IF($F121&gt;0,($F121/AM121),IF($G121&gt;0,((((43560/($G121/12))*$H121)/$AM121)),0)))</f>
        <v>0.2272695652173913</v>
      </c>
      <c r="BG121" s="37">
        <f t="shared" si="134"/>
      </c>
      <c r="BH121" s="36">
        <f t="shared" si="135"/>
        <v>0</v>
      </c>
      <c r="BI121" s="38">
        <f>SUM(BG121:BH121)</f>
        <v>0</v>
      </c>
      <c r="BJ121" s="1" t="str">
        <f>IF(J121=BI121,"yes","no")</f>
        <v>yes</v>
      </c>
      <c r="BK121" s="37">
        <f t="shared" si="138"/>
      </c>
      <c r="BL121" s="37">
        <f>IF(BH121="","",IF(BH121=0,"",BC121-BH121))</f>
      </c>
      <c r="BM121" s="7">
        <f>IF(BK121="","",BD121-BI121)</f>
      </c>
      <c r="BN121" s="7" t="e">
        <f>R121-BM121</f>
        <v>#VALUE!</v>
      </c>
    </row>
    <row r="122" spans="2:66" ht="18" customHeight="1">
      <c r="B122" s="4" t="s">
        <v>12</v>
      </c>
      <c r="C122" s="4" t="s">
        <v>95</v>
      </c>
      <c r="D122" s="157" t="s">
        <v>116</v>
      </c>
      <c r="E122" s="1" t="s">
        <v>21</v>
      </c>
      <c r="F122" s="79">
        <f t="shared" si="100"/>
        <v>52272</v>
      </c>
      <c r="G122" s="80">
        <f t="shared" si="101"/>
        <v>40</v>
      </c>
      <c r="H122" s="149">
        <f t="shared" si="102"/>
        <v>4</v>
      </c>
      <c r="I122" s="150">
        <f t="shared" si="103"/>
        <v>68.15814260869564</v>
      </c>
      <c r="J122" s="83">
        <f t="shared" si="104"/>
        <v>65.40818086956523</v>
      </c>
      <c r="K122" s="84">
        <f t="shared" si="105"/>
        <v>65.40818086956523</v>
      </c>
      <c r="L122" s="151">
        <f t="shared" si="106"/>
        <v>24.545113043478263</v>
      </c>
      <c r="M122" s="152">
        <f t="shared" si="107"/>
        <v>24.545113043478263</v>
      </c>
      <c r="N122" s="188">
        <f t="shared" si="108"/>
        <v>0</v>
      </c>
      <c r="O122" s="153">
        <f t="shared" si="109"/>
        <v>40.86306782608696</v>
      </c>
      <c r="P122" s="154">
        <f t="shared" si="110"/>
        <v>40.86306782608696</v>
      </c>
      <c r="Q122" s="176">
        <f t="shared" si="111"/>
        <v>0</v>
      </c>
      <c r="R122" s="100">
        <f t="shared" si="112"/>
        <v>0</v>
      </c>
      <c r="S122" s="184">
        <f t="shared" si="113"/>
        <v>0</v>
      </c>
      <c r="U122" s="208" t="s">
        <v>95</v>
      </c>
      <c r="V122" s="4" t="s">
        <v>12</v>
      </c>
      <c r="X122" s="32">
        <v>128</v>
      </c>
      <c r="Y122" s="32">
        <v>108</v>
      </c>
      <c r="Z122" s="32">
        <v>108</v>
      </c>
      <c r="AA122" s="32">
        <v>171.9</v>
      </c>
      <c r="AB122" s="32"/>
      <c r="AC122" s="32">
        <v>179.8</v>
      </c>
      <c r="AD122" s="32"/>
      <c r="AE122" s="32">
        <v>179.8</v>
      </c>
      <c r="AF122" s="32"/>
      <c r="AG122" s="32">
        <f t="shared" si="114"/>
        <v>299.9</v>
      </c>
      <c r="AH122" s="32">
        <f t="shared" si="115"/>
        <v>287.8</v>
      </c>
      <c r="AI122" s="32">
        <f t="shared" si="116"/>
        <v>287.8</v>
      </c>
      <c r="AJ122" s="26"/>
      <c r="AK122" s="33">
        <v>230000</v>
      </c>
      <c r="AL122" s="26"/>
      <c r="AM122" s="33">
        <v>230000</v>
      </c>
      <c r="AN122" s="26"/>
      <c r="AO122" s="33">
        <v>230000</v>
      </c>
      <c r="AP122" s="67">
        <f t="shared" si="117"/>
        <v>230000</v>
      </c>
      <c r="AQ122" s="34">
        <f t="shared" si="118"/>
        <v>100</v>
      </c>
      <c r="AR122" s="67">
        <f t="shared" si="119"/>
        <v>230000</v>
      </c>
      <c r="AS122" s="34">
        <f t="shared" si="120"/>
        <v>100</v>
      </c>
      <c r="AT122" s="28">
        <f t="shared" si="121"/>
        <v>108</v>
      </c>
      <c r="AU122" s="28">
        <f t="shared" si="122"/>
        <v>179.8</v>
      </c>
      <c r="AV122" s="28">
        <f t="shared" si="123"/>
        <v>287.8</v>
      </c>
      <c r="AW122" s="24">
        <f t="shared" si="124"/>
        <v>0</v>
      </c>
      <c r="AX122" s="24">
        <f t="shared" si="125"/>
        <v>0</v>
      </c>
      <c r="AY122" s="24">
        <f t="shared" si="126"/>
        <v>0</v>
      </c>
      <c r="AZ122" s="156">
        <f t="shared" si="127"/>
        <v>52272</v>
      </c>
      <c r="BA122" s="35">
        <f t="shared" si="128"/>
        <v>0.2272695652173913</v>
      </c>
      <c r="BB122" s="35">
        <f t="shared" si="129"/>
        <v>24.545113043478263</v>
      </c>
      <c r="BC122" s="36">
        <f t="shared" si="130"/>
        <v>40.86306782608696</v>
      </c>
      <c r="BD122" s="36">
        <f t="shared" si="131"/>
        <v>65.40818086956523</v>
      </c>
      <c r="BE122" s="36" t="str">
        <f t="shared" si="132"/>
        <v>yes</v>
      </c>
      <c r="BF122" s="37">
        <f t="shared" si="133"/>
        <v>0.2272695652173913</v>
      </c>
      <c r="BG122" s="37">
        <f t="shared" si="134"/>
        <v>24.545113043478263</v>
      </c>
      <c r="BH122" s="36">
        <f t="shared" si="135"/>
        <v>40.86306782608696</v>
      </c>
      <c r="BI122" s="38">
        <f t="shared" si="136"/>
        <v>65.40818086956523</v>
      </c>
      <c r="BJ122" s="1" t="str">
        <f t="shared" si="137"/>
        <v>yes</v>
      </c>
      <c r="BK122" s="37">
        <f t="shared" si="138"/>
        <v>0</v>
      </c>
      <c r="BL122" s="37">
        <f t="shared" si="139"/>
        <v>0</v>
      </c>
      <c r="BM122" s="7">
        <f t="shared" si="140"/>
        <v>0</v>
      </c>
      <c r="BN122" s="7">
        <f t="shared" si="141"/>
        <v>0</v>
      </c>
    </row>
    <row r="123" spans="2:66" ht="18" customHeight="1">
      <c r="B123" s="4" t="s">
        <v>12</v>
      </c>
      <c r="C123" s="4" t="s">
        <v>95</v>
      </c>
      <c r="D123" s="157" t="s">
        <v>116</v>
      </c>
      <c r="E123" s="1" t="s">
        <v>236</v>
      </c>
      <c r="F123" s="79">
        <f t="shared" si="100"/>
        <v>52272</v>
      </c>
      <c r="G123" s="80">
        <f t="shared" si="101"/>
        <v>40</v>
      </c>
      <c r="H123" s="149">
        <f t="shared" si="102"/>
        <v>4</v>
      </c>
      <c r="I123" s="150">
        <f t="shared" si="103"/>
        <v>68.15814260869564</v>
      </c>
      <c r="J123" s="83">
        <f t="shared" si="104"/>
        <v>65.40818086956523</v>
      </c>
      <c r="K123" s="84">
        <f t="shared" si="105"/>
        <v>65.40818086956523</v>
      </c>
      <c r="L123" s="151">
        <f t="shared" si="106"/>
        <v>24.545113043478263</v>
      </c>
      <c r="M123" s="152">
        <f t="shared" si="107"/>
        <v>24.545113043478263</v>
      </c>
      <c r="N123" s="188">
        <f t="shared" si="108"/>
        <v>0</v>
      </c>
      <c r="O123" s="153">
        <f t="shared" si="109"/>
        <v>40.86306782608696</v>
      </c>
      <c r="P123" s="154">
        <f t="shared" si="110"/>
        <v>40.86306782608696</v>
      </c>
      <c r="Q123" s="176">
        <f t="shared" si="111"/>
        <v>0</v>
      </c>
      <c r="R123" s="100">
        <f t="shared" si="112"/>
        <v>0</v>
      </c>
      <c r="S123" s="184">
        <f t="shared" si="113"/>
        <v>0</v>
      </c>
      <c r="U123" s="208" t="s">
        <v>95</v>
      </c>
      <c r="V123" s="4" t="s">
        <v>12</v>
      </c>
      <c r="X123" s="155">
        <v>128</v>
      </c>
      <c r="Y123" s="155">
        <v>108</v>
      </c>
      <c r="Z123" s="155">
        <v>108</v>
      </c>
      <c r="AA123" s="32">
        <v>171.9</v>
      </c>
      <c r="AB123" s="155"/>
      <c r="AC123" s="32">
        <v>179.8</v>
      </c>
      <c r="AD123" s="155"/>
      <c r="AE123" s="32">
        <v>179.8</v>
      </c>
      <c r="AF123" s="155"/>
      <c r="AG123" s="32">
        <f t="shared" si="114"/>
        <v>299.9</v>
      </c>
      <c r="AH123" s="32">
        <f t="shared" si="115"/>
        <v>287.8</v>
      </c>
      <c r="AI123" s="32">
        <f t="shared" si="116"/>
        <v>287.8</v>
      </c>
      <c r="AJ123" s="33"/>
      <c r="AK123" s="33">
        <v>230000</v>
      </c>
      <c r="AL123" s="33"/>
      <c r="AM123" s="33">
        <v>230000</v>
      </c>
      <c r="AN123" s="33"/>
      <c r="AO123" s="33">
        <v>230000</v>
      </c>
      <c r="AP123" s="67">
        <f t="shared" si="117"/>
        <v>230000</v>
      </c>
      <c r="AQ123" s="34">
        <f t="shared" si="118"/>
        <v>100</v>
      </c>
      <c r="AR123" s="67">
        <f t="shared" si="119"/>
        <v>230000</v>
      </c>
      <c r="AS123" s="34">
        <f t="shared" si="120"/>
        <v>100</v>
      </c>
      <c r="AT123" s="28">
        <f t="shared" si="121"/>
        <v>108</v>
      </c>
      <c r="AU123" s="28">
        <f t="shared" si="122"/>
        <v>179.8</v>
      </c>
      <c r="AV123" s="28">
        <f t="shared" si="123"/>
        <v>287.8</v>
      </c>
      <c r="AW123" s="24">
        <f t="shared" si="124"/>
        <v>0</v>
      </c>
      <c r="AX123" s="24">
        <f t="shared" si="125"/>
        <v>0</v>
      </c>
      <c r="AY123" s="24">
        <f t="shared" si="126"/>
        <v>0</v>
      </c>
      <c r="AZ123" s="156">
        <f t="shared" si="127"/>
        <v>52272</v>
      </c>
      <c r="BA123" s="35">
        <f t="shared" si="128"/>
        <v>0.2272695652173913</v>
      </c>
      <c r="BB123" s="35">
        <f t="shared" si="129"/>
        <v>24.545113043478263</v>
      </c>
      <c r="BC123" s="36">
        <f t="shared" si="130"/>
        <v>40.86306782608696</v>
      </c>
      <c r="BD123" s="36">
        <f t="shared" si="131"/>
        <v>65.40818086956523</v>
      </c>
      <c r="BE123" s="36" t="str">
        <f t="shared" si="132"/>
        <v>yes</v>
      </c>
      <c r="BF123" s="37">
        <f t="shared" si="133"/>
        <v>0.2272695652173913</v>
      </c>
      <c r="BG123" s="37">
        <f t="shared" si="134"/>
        <v>24.545113043478263</v>
      </c>
      <c r="BH123" s="36">
        <f t="shared" si="135"/>
        <v>40.86306782608696</v>
      </c>
      <c r="BI123" s="38">
        <f t="shared" si="136"/>
        <v>65.40818086956523</v>
      </c>
      <c r="BJ123" s="1" t="str">
        <f t="shared" si="137"/>
        <v>yes</v>
      </c>
      <c r="BK123" s="37">
        <f t="shared" si="138"/>
        <v>0</v>
      </c>
      <c r="BL123" s="37">
        <f t="shared" si="139"/>
        <v>0</v>
      </c>
      <c r="BM123" s="7">
        <f t="shared" si="140"/>
        <v>0</v>
      </c>
      <c r="BN123" s="7">
        <f t="shared" si="141"/>
        <v>0</v>
      </c>
    </row>
    <row r="124" spans="2:66" ht="18" customHeight="1">
      <c r="B124" s="4" t="s">
        <v>12</v>
      </c>
      <c r="C124" s="4" t="s">
        <v>95</v>
      </c>
      <c r="D124" s="157" t="s">
        <v>116</v>
      </c>
      <c r="E124" s="158" t="s">
        <v>22</v>
      </c>
      <c r="F124" s="79">
        <f t="shared" si="100"/>
        <v>52272</v>
      </c>
      <c r="G124" s="80">
        <f t="shared" si="101"/>
        <v>40</v>
      </c>
      <c r="H124" s="149">
        <f t="shared" si="102"/>
        <v>4</v>
      </c>
      <c r="I124" s="150">
        <f t="shared" si="103"/>
        <v>68.15814260869564</v>
      </c>
      <c r="J124" s="83">
        <f t="shared" si="104"/>
        <v>65.40818086956523</v>
      </c>
      <c r="K124" s="84">
        <f t="shared" si="105"/>
        <v>65.40818086956523</v>
      </c>
      <c r="L124" s="151">
        <f t="shared" si="106"/>
        <v>24.545113043478263</v>
      </c>
      <c r="M124" s="152">
        <f t="shared" si="107"/>
        <v>24.545113043478263</v>
      </c>
      <c r="N124" s="188">
        <f t="shared" si="108"/>
        <v>0</v>
      </c>
      <c r="O124" s="153">
        <f t="shared" si="109"/>
        <v>40.86306782608696</v>
      </c>
      <c r="P124" s="154">
        <f t="shared" si="110"/>
        <v>40.86306782608696</v>
      </c>
      <c r="Q124" s="176">
        <f t="shared" si="111"/>
        <v>0</v>
      </c>
      <c r="R124" s="100">
        <f t="shared" si="112"/>
        <v>0</v>
      </c>
      <c r="S124" s="184">
        <f t="shared" si="113"/>
        <v>0</v>
      </c>
      <c r="U124" s="208" t="s">
        <v>95</v>
      </c>
      <c r="V124" s="4" t="s">
        <v>12</v>
      </c>
      <c r="X124" s="32">
        <v>128</v>
      </c>
      <c r="Y124" s="32">
        <v>108</v>
      </c>
      <c r="Z124" s="32">
        <v>108</v>
      </c>
      <c r="AA124" s="32">
        <v>171.9</v>
      </c>
      <c r="AB124" s="32"/>
      <c r="AC124" s="32">
        <v>179.8</v>
      </c>
      <c r="AD124" s="32"/>
      <c r="AE124" s="32">
        <v>179.8</v>
      </c>
      <c r="AF124" s="32"/>
      <c r="AG124" s="32">
        <f t="shared" si="114"/>
        <v>299.9</v>
      </c>
      <c r="AH124" s="32">
        <f t="shared" si="115"/>
        <v>287.8</v>
      </c>
      <c r="AI124" s="32">
        <f t="shared" si="116"/>
        <v>287.8</v>
      </c>
      <c r="AJ124" s="26"/>
      <c r="AK124" s="33">
        <v>230000</v>
      </c>
      <c r="AL124" s="26"/>
      <c r="AM124" s="33">
        <v>230000</v>
      </c>
      <c r="AN124" s="26"/>
      <c r="AO124" s="33">
        <v>230000</v>
      </c>
      <c r="AP124" s="67">
        <f t="shared" si="117"/>
        <v>230000</v>
      </c>
      <c r="AQ124" s="34">
        <f t="shared" si="118"/>
        <v>100</v>
      </c>
      <c r="AR124" s="67">
        <f t="shared" si="119"/>
        <v>230000</v>
      </c>
      <c r="AS124" s="34">
        <f t="shared" si="120"/>
        <v>100</v>
      </c>
      <c r="AT124" s="28">
        <f t="shared" si="121"/>
        <v>108</v>
      </c>
      <c r="AU124" s="28">
        <f t="shared" si="122"/>
        <v>179.8</v>
      </c>
      <c r="AV124" s="28">
        <f t="shared" si="123"/>
        <v>287.8</v>
      </c>
      <c r="AW124" s="24">
        <f t="shared" si="124"/>
        <v>0</v>
      </c>
      <c r="AX124" s="24">
        <f t="shared" si="125"/>
        <v>0</v>
      </c>
      <c r="AY124" s="24">
        <f t="shared" si="126"/>
        <v>0</v>
      </c>
      <c r="AZ124" s="156">
        <f t="shared" si="127"/>
        <v>52272</v>
      </c>
      <c r="BA124" s="35">
        <f t="shared" si="128"/>
        <v>0.2272695652173913</v>
      </c>
      <c r="BB124" s="35">
        <f t="shared" si="129"/>
        <v>24.545113043478263</v>
      </c>
      <c r="BC124" s="36">
        <f t="shared" si="130"/>
        <v>40.86306782608696</v>
      </c>
      <c r="BD124" s="36">
        <f t="shared" si="131"/>
        <v>65.40818086956523</v>
      </c>
      <c r="BE124" s="36" t="str">
        <f t="shared" si="132"/>
        <v>yes</v>
      </c>
      <c r="BF124" s="37">
        <f t="shared" si="133"/>
        <v>0.2272695652173913</v>
      </c>
      <c r="BG124" s="37">
        <f t="shared" si="134"/>
        <v>24.545113043478263</v>
      </c>
      <c r="BH124" s="36">
        <f t="shared" si="135"/>
        <v>40.86306782608696</v>
      </c>
      <c r="BI124" s="38">
        <f t="shared" si="136"/>
        <v>65.40818086956523</v>
      </c>
      <c r="BJ124" s="1" t="str">
        <f t="shared" si="137"/>
        <v>yes</v>
      </c>
      <c r="BK124" s="37">
        <f t="shared" si="138"/>
        <v>0</v>
      </c>
      <c r="BL124" s="37">
        <f t="shared" si="139"/>
        <v>0</v>
      </c>
      <c r="BM124" s="7">
        <f t="shared" si="140"/>
        <v>0</v>
      </c>
      <c r="BN124" s="7">
        <f t="shared" si="141"/>
        <v>0</v>
      </c>
    </row>
    <row r="125" spans="2:66" ht="18" customHeight="1">
      <c r="B125" s="4" t="s">
        <v>12</v>
      </c>
      <c r="C125" s="4" t="s">
        <v>97</v>
      </c>
      <c r="D125" s="157" t="s">
        <v>116</v>
      </c>
      <c r="E125" s="158" t="s">
        <v>20</v>
      </c>
      <c r="F125" s="79">
        <f t="shared" si="100"/>
        <v>52272</v>
      </c>
      <c r="G125" s="80">
        <f t="shared" si="101"/>
        <v>40</v>
      </c>
      <c r="H125" s="149">
        <f t="shared" si="102"/>
        <v>4</v>
      </c>
      <c r="I125" s="150">
        <f t="shared" si="103"/>
        <v>56.77193739130435</v>
      </c>
      <c r="J125" s="83">
        <f t="shared" si="104"/>
        <v>52.681085217391306</v>
      </c>
      <c r="K125" s="84">
        <f t="shared" si="105"/>
        <v>52.681085217391306</v>
      </c>
      <c r="L125" s="151">
        <f t="shared" si="106"/>
        <v>20.454260869565218</v>
      </c>
      <c r="M125" s="152">
        <f t="shared" si="107"/>
        <v>20.454260869565218</v>
      </c>
      <c r="N125" s="188">
        <f t="shared" si="108"/>
        <v>0</v>
      </c>
      <c r="O125" s="153">
        <f t="shared" si="109"/>
        <v>32.22682434782609</v>
      </c>
      <c r="P125" s="154">
        <f t="shared" si="110"/>
        <v>32.22682434782609</v>
      </c>
      <c r="Q125" s="176">
        <f t="shared" si="111"/>
        <v>0</v>
      </c>
      <c r="R125" s="100">
        <f t="shared" si="112"/>
        <v>0</v>
      </c>
      <c r="S125" s="184">
        <f t="shared" si="113"/>
        <v>0</v>
      </c>
      <c r="U125" s="208" t="s">
        <v>97</v>
      </c>
      <c r="V125" s="4" t="s">
        <v>12</v>
      </c>
      <c r="X125" s="32">
        <v>118</v>
      </c>
      <c r="Y125" s="32">
        <v>90</v>
      </c>
      <c r="Z125" s="32">
        <v>90</v>
      </c>
      <c r="AA125" s="32">
        <v>131.8</v>
      </c>
      <c r="AB125" s="32"/>
      <c r="AC125" s="32">
        <v>141.8</v>
      </c>
      <c r="AD125" s="32"/>
      <c r="AE125" s="32">
        <v>141.8</v>
      </c>
      <c r="AF125" s="32"/>
      <c r="AG125" s="32">
        <f t="shared" si="114"/>
        <v>249.8</v>
      </c>
      <c r="AH125" s="32">
        <f t="shared" si="115"/>
        <v>231.8</v>
      </c>
      <c r="AI125" s="32">
        <f t="shared" si="116"/>
        <v>231.8</v>
      </c>
      <c r="AJ125" s="26"/>
      <c r="AK125" s="33">
        <v>230000</v>
      </c>
      <c r="AL125" s="26"/>
      <c r="AM125" s="33">
        <v>230000</v>
      </c>
      <c r="AN125" s="26"/>
      <c r="AO125" s="33">
        <v>230000</v>
      </c>
      <c r="AP125" s="67">
        <f t="shared" si="117"/>
        <v>230000</v>
      </c>
      <c r="AQ125" s="34">
        <f t="shared" si="118"/>
        <v>100</v>
      </c>
      <c r="AR125" s="67">
        <f t="shared" si="119"/>
        <v>230000</v>
      </c>
      <c r="AS125" s="34">
        <f t="shared" si="120"/>
        <v>100</v>
      </c>
      <c r="AT125" s="28">
        <f t="shared" si="121"/>
        <v>90</v>
      </c>
      <c r="AU125" s="28">
        <f t="shared" si="122"/>
        <v>141.8</v>
      </c>
      <c r="AV125" s="28">
        <f t="shared" si="123"/>
        <v>231.8</v>
      </c>
      <c r="AW125" s="24">
        <f t="shared" si="124"/>
        <v>0</v>
      </c>
      <c r="AX125" s="24">
        <f t="shared" si="125"/>
        <v>0</v>
      </c>
      <c r="AY125" s="24">
        <f t="shared" si="126"/>
        <v>0</v>
      </c>
      <c r="AZ125" s="156">
        <f t="shared" si="127"/>
        <v>52272</v>
      </c>
      <c r="BA125" s="35">
        <f t="shared" si="128"/>
        <v>0.2272695652173913</v>
      </c>
      <c r="BB125" s="35">
        <f t="shared" si="129"/>
        <v>20.454260869565218</v>
      </c>
      <c r="BC125" s="36">
        <f t="shared" si="130"/>
        <v>32.22682434782609</v>
      </c>
      <c r="BD125" s="36">
        <f t="shared" si="131"/>
        <v>52.681085217391306</v>
      </c>
      <c r="BE125" s="36" t="str">
        <f t="shared" si="132"/>
        <v>yes</v>
      </c>
      <c r="BF125" s="37">
        <f t="shared" si="133"/>
        <v>0.2272695652173913</v>
      </c>
      <c r="BG125" s="37">
        <f t="shared" si="134"/>
        <v>20.454260869565218</v>
      </c>
      <c r="BH125" s="36">
        <f t="shared" si="135"/>
        <v>32.22682434782609</v>
      </c>
      <c r="BI125" s="38">
        <f t="shared" si="136"/>
        <v>52.681085217391306</v>
      </c>
      <c r="BJ125" s="1" t="str">
        <f t="shared" si="137"/>
        <v>yes</v>
      </c>
      <c r="BK125" s="37">
        <f t="shared" si="138"/>
        <v>0</v>
      </c>
      <c r="BL125" s="37">
        <f t="shared" si="139"/>
        <v>0</v>
      </c>
      <c r="BM125" s="7">
        <f t="shared" si="140"/>
        <v>0</v>
      </c>
      <c r="BN125" s="7">
        <f t="shared" si="141"/>
        <v>0</v>
      </c>
    </row>
    <row r="126" spans="4:66" ht="18" customHeight="1">
      <c r="D126" s="157" t="s">
        <v>116</v>
      </c>
      <c r="E126" s="158" t="s">
        <v>55</v>
      </c>
      <c r="F126" s="79">
        <f t="shared" si="100"/>
        <v>52272</v>
      </c>
      <c r="G126" s="80">
        <f t="shared" si="101"/>
        <v>40</v>
      </c>
      <c r="H126" s="149">
        <f t="shared" si="102"/>
        <v>4</v>
      </c>
      <c r="I126" s="150">
        <f>IF(AK126="","",IF($F126&gt;0,($F126/$AK126)*AG126,IF($G126&gt;0,(((43560/($G126/12))*$H126)/$AK126)*AG126,0)))</f>
        <v>56.77193739130435</v>
      </c>
      <c r="J126" s="83">
        <f>BI126</f>
        <v>52.681085217391306</v>
      </c>
      <c r="K126" s="84">
        <f>BD126</f>
        <v>52.681085217391306</v>
      </c>
      <c r="L126" s="151">
        <f>BG126</f>
        <v>20.454260869565218</v>
      </c>
      <c r="M126" s="152">
        <f>BB126</f>
        <v>20.454260869565218</v>
      </c>
      <c r="N126" s="188">
        <f>IF(R126="New","New",(M126/L126)-1)</f>
        <v>0</v>
      </c>
      <c r="O126" s="153">
        <f>IF(AW126="","",BH126)</f>
        <v>32.22682434782609</v>
      </c>
      <c r="P126" s="154">
        <f>IF(BC126="","",BC126)</f>
        <v>32.22682434782609</v>
      </c>
      <c r="Q126" s="176">
        <f>IF(R126="New","New",IF(AX126="","",(P126/O126)-1))</f>
        <v>0</v>
      </c>
      <c r="R126" s="100">
        <f>IF(J126="","New",IF(J126=0,"New",K126-J126))</f>
        <v>0</v>
      </c>
      <c r="S126" s="184">
        <f>IF(R126="New","",R126/J126)</f>
        <v>0</v>
      </c>
      <c r="U126" s="208" t="s">
        <v>97</v>
      </c>
      <c r="V126" s="4" t="s">
        <v>12</v>
      </c>
      <c r="X126" s="32">
        <v>118</v>
      </c>
      <c r="Y126" s="32">
        <v>90</v>
      </c>
      <c r="Z126" s="32">
        <v>90</v>
      </c>
      <c r="AA126" s="32">
        <v>131.8</v>
      </c>
      <c r="AB126" s="32"/>
      <c r="AC126" s="32">
        <v>141.8</v>
      </c>
      <c r="AD126" s="32"/>
      <c r="AE126" s="32">
        <v>141.8</v>
      </c>
      <c r="AF126" s="32"/>
      <c r="AG126" s="32">
        <f t="shared" si="114"/>
        <v>249.8</v>
      </c>
      <c r="AH126" s="32">
        <f t="shared" si="115"/>
        <v>231.8</v>
      </c>
      <c r="AI126" s="32">
        <f t="shared" si="116"/>
        <v>231.8</v>
      </c>
      <c r="AJ126" s="26"/>
      <c r="AK126" s="33">
        <v>230000</v>
      </c>
      <c r="AL126" s="26"/>
      <c r="AM126" s="33">
        <v>230000</v>
      </c>
      <c r="AN126" s="26"/>
      <c r="AO126" s="33">
        <v>230000</v>
      </c>
      <c r="AP126" s="67">
        <f>AK126</f>
        <v>230000</v>
      </c>
      <c r="AQ126" s="34">
        <f>IF(AK126&gt;0,AM126/AK126*100,"Not Avail.")</f>
        <v>100</v>
      </c>
      <c r="AR126" s="67">
        <f>AM126</f>
        <v>230000</v>
      </c>
      <c r="AS126" s="34">
        <f>IF(AM126&gt;0,AO126/AM126*100,"Not Avail.")</f>
        <v>100</v>
      </c>
      <c r="AT126" s="28">
        <f t="shared" si="121"/>
        <v>90</v>
      </c>
      <c r="AU126" s="28">
        <f t="shared" si="122"/>
        <v>141.8</v>
      </c>
      <c r="AV126" s="28">
        <f>IF(AT126="","",SUM(AT126:AU126))</f>
        <v>231.8</v>
      </c>
      <c r="AW126" s="24">
        <f t="shared" si="124"/>
        <v>0</v>
      </c>
      <c r="AX126" s="24">
        <f t="shared" si="125"/>
        <v>0</v>
      </c>
      <c r="AY126" s="24">
        <f>IF(AH126&gt;0,AI126-AV126,"New")</f>
        <v>0</v>
      </c>
      <c r="AZ126" s="156">
        <f>F126</f>
        <v>52272</v>
      </c>
      <c r="BA126" s="35">
        <f t="shared" si="128"/>
        <v>0.2272695652173913</v>
      </c>
      <c r="BB126" s="35">
        <f t="shared" si="129"/>
        <v>20.454260869565218</v>
      </c>
      <c r="BC126" s="36">
        <f t="shared" si="130"/>
        <v>32.22682434782609</v>
      </c>
      <c r="BD126" s="36">
        <f>BB126+BC126</f>
        <v>52.681085217391306</v>
      </c>
      <c r="BE126" s="36" t="str">
        <f>IF(BD126=K126,"yes","no")</f>
        <v>yes</v>
      </c>
      <c r="BF126" s="37">
        <f>IF(AM126="","",IF($F126&gt;0,($F126/AM126),IF($G126&gt;0,((((43560/($G126/12))*$H126)/$AM126)),0)))</f>
        <v>0.2272695652173913</v>
      </c>
      <c r="BG126" s="37">
        <f t="shared" si="134"/>
        <v>20.454260869565218</v>
      </c>
      <c r="BH126" s="36">
        <f t="shared" si="135"/>
        <v>32.22682434782609</v>
      </c>
      <c r="BI126" s="38">
        <f>SUM(BG126:BH126)</f>
        <v>52.681085217391306</v>
      </c>
      <c r="BJ126" s="1" t="str">
        <f>IF(J126=BI126,"yes","no")</f>
        <v>yes</v>
      </c>
      <c r="BK126" s="37">
        <f t="shared" si="138"/>
        <v>0</v>
      </c>
      <c r="BL126" s="37">
        <f>IF(BH126="","",IF(BH126=0,"",BC126-BH126))</f>
        <v>0</v>
      </c>
      <c r="BM126" s="7">
        <f>IF(BK126="","",BD126-BI126)</f>
        <v>0</v>
      </c>
      <c r="BN126" s="7">
        <f>R126-BM126</f>
        <v>0</v>
      </c>
    </row>
    <row r="127" spans="2:66" ht="18" customHeight="1">
      <c r="B127" s="4" t="s">
        <v>12</v>
      </c>
      <c r="C127" s="29" t="s">
        <v>97</v>
      </c>
      <c r="D127" s="157" t="s">
        <v>116</v>
      </c>
      <c r="E127" s="158" t="s">
        <v>198</v>
      </c>
      <c r="F127" s="79">
        <f t="shared" si="100"/>
        <v>52272</v>
      </c>
      <c r="G127" s="80">
        <f t="shared" si="101"/>
        <v>40</v>
      </c>
      <c r="H127" s="149">
        <f t="shared" si="102"/>
        <v>4</v>
      </c>
      <c r="I127" s="150">
        <f t="shared" si="103"/>
        <v>56.77193739130435</v>
      </c>
      <c r="J127" s="83">
        <f t="shared" si="104"/>
        <v>52.681085217391306</v>
      </c>
      <c r="K127" s="84">
        <f t="shared" si="105"/>
        <v>52.681085217391306</v>
      </c>
      <c r="L127" s="151">
        <f t="shared" si="106"/>
        <v>20.454260869565218</v>
      </c>
      <c r="M127" s="152">
        <f t="shared" si="107"/>
        <v>20.454260869565218</v>
      </c>
      <c r="N127" s="188">
        <f t="shared" si="108"/>
        <v>0</v>
      </c>
      <c r="O127" s="153">
        <f t="shared" si="109"/>
        <v>32.22682434782609</v>
      </c>
      <c r="P127" s="154">
        <f t="shared" si="110"/>
        <v>32.22682434782609</v>
      </c>
      <c r="Q127" s="176">
        <f t="shared" si="111"/>
        <v>0</v>
      </c>
      <c r="R127" s="100">
        <f t="shared" si="112"/>
        <v>0</v>
      </c>
      <c r="S127" s="184">
        <f t="shared" si="113"/>
        <v>0</v>
      </c>
      <c r="U127" s="207" t="s">
        <v>97</v>
      </c>
      <c r="V127" s="4" t="s">
        <v>12</v>
      </c>
      <c r="X127" s="163">
        <v>118</v>
      </c>
      <c r="Y127" s="163">
        <v>90</v>
      </c>
      <c r="Z127" s="163">
        <v>90</v>
      </c>
      <c r="AA127" s="32">
        <v>131.8</v>
      </c>
      <c r="AB127" s="163"/>
      <c r="AC127" s="32">
        <v>141.8</v>
      </c>
      <c r="AD127" s="163"/>
      <c r="AE127" s="32">
        <v>141.8</v>
      </c>
      <c r="AF127" s="163"/>
      <c r="AG127" s="32">
        <f t="shared" si="114"/>
        <v>249.8</v>
      </c>
      <c r="AH127" s="32">
        <f t="shared" si="115"/>
        <v>231.8</v>
      </c>
      <c r="AI127" s="32">
        <f t="shared" si="116"/>
        <v>231.8</v>
      </c>
      <c r="AJ127" s="33"/>
      <c r="AK127" s="33">
        <v>230000</v>
      </c>
      <c r="AL127" s="33"/>
      <c r="AM127" s="33">
        <v>230000</v>
      </c>
      <c r="AN127" s="33"/>
      <c r="AO127" s="33">
        <v>230000</v>
      </c>
      <c r="AP127" s="67">
        <f t="shared" si="117"/>
        <v>230000</v>
      </c>
      <c r="AQ127" s="34">
        <f t="shared" si="118"/>
        <v>100</v>
      </c>
      <c r="AR127" s="67">
        <f t="shared" si="119"/>
        <v>230000</v>
      </c>
      <c r="AS127" s="34">
        <f t="shared" si="120"/>
        <v>100</v>
      </c>
      <c r="AT127" s="28">
        <f t="shared" si="121"/>
        <v>90</v>
      </c>
      <c r="AU127" s="28">
        <f t="shared" si="122"/>
        <v>141.8</v>
      </c>
      <c r="AV127" s="28">
        <f t="shared" si="123"/>
        <v>231.8</v>
      </c>
      <c r="AW127" s="24">
        <f t="shared" si="124"/>
        <v>0</v>
      </c>
      <c r="AX127" s="24">
        <f t="shared" si="125"/>
        <v>0</v>
      </c>
      <c r="AY127" s="24">
        <f t="shared" si="126"/>
        <v>0</v>
      </c>
      <c r="AZ127" s="156">
        <f t="shared" si="127"/>
        <v>52272</v>
      </c>
      <c r="BA127" s="35">
        <f t="shared" si="128"/>
        <v>0.2272695652173913</v>
      </c>
      <c r="BB127" s="35">
        <f t="shared" si="129"/>
        <v>20.454260869565218</v>
      </c>
      <c r="BC127" s="36">
        <f t="shared" si="130"/>
        <v>32.22682434782609</v>
      </c>
      <c r="BD127" s="36">
        <f t="shared" si="131"/>
        <v>52.681085217391306</v>
      </c>
      <c r="BE127" s="36" t="str">
        <f t="shared" si="132"/>
        <v>yes</v>
      </c>
      <c r="BF127" s="37">
        <f t="shared" si="133"/>
        <v>0.2272695652173913</v>
      </c>
      <c r="BG127" s="37">
        <f t="shared" si="134"/>
        <v>20.454260869565218</v>
      </c>
      <c r="BH127" s="36">
        <f t="shared" si="135"/>
        <v>32.22682434782609</v>
      </c>
      <c r="BI127" s="38">
        <f t="shared" si="136"/>
        <v>52.681085217391306</v>
      </c>
      <c r="BJ127" s="1" t="str">
        <f t="shared" si="137"/>
        <v>yes</v>
      </c>
      <c r="BK127" s="37">
        <f t="shared" si="138"/>
        <v>0</v>
      </c>
      <c r="BL127" s="37">
        <f t="shared" si="139"/>
        <v>0</v>
      </c>
      <c r="BM127" s="7">
        <f t="shared" si="140"/>
        <v>0</v>
      </c>
      <c r="BN127" s="7">
        <f t="shared" si="141"/>
        <v>0</v>
      </c>
    </row>
    <row r="128" spans="3:66" ht="18" customHeight="1">
      <c r="C128" s="29"/>
      <c r="D128" s="157" t="s">
        <v>116</v>
      </c>
      <c r="E128" s="158" t="s">
        <v>35</v>
      </c>
      <c r="F128" s="79">
        <f t="shared" si="100"/>
        <v>52272</v>
      </c>
      <c r="G128" s="80">
        <f t="shared" si="101"/>
        <v>40</v>
      </c>
      <c r="H128" s="149">
        <f t="shared" si="102"/>
        <v>4</v>
      </c>
      <c r="I128" s="150">
        <f>IF(AK128="","",IF($F128&gt;0,($F128/$AK128)*AG128,IF($G128&gt;0,(((43560/($G128/12))*$H128)/$AK128)*AG128,0)))</f>
        <v>0</v>
      </c>
      <c r="J128" s="83">
        <f>BI128</f>
        <v>0</v>
      </c>
      <c r="K128" s="84">
        <f>BD128</f>
        <v>65.40818086956523</v>
      </c>
      <c r="L128" s="151">
        <f>BG128</f>
      </c>
      <c r="M128" s="152">
        <f>BB128</f>
        <v>24.545113043478263</v>
      </c>
      <c r="N128" s="188" t="str">
        <f>IF(R128="New","New",(M128/L128)-1)</f>
        <v>New</v>
      </c>
      <c r="O128" s="153">
        <f>IF(AW128="","",BH128)</f>
      </c>
      <c r="P128" s="154">
        <f>IF(BC128="","",BC128)</f>
        <v>40.86306782608696</v>
      </c>
      <c r="Q128" s="176" t="str">
        <f>IF(R128="New","New",IF(AX128="","",(P128/O128)-1))</f>
        <v>New</v>
      </c>
      <c r="R128" s="100" t="str">
        <f>IF(J128="","New",IF(J128=0,"New",K128-J128))</f>
        <v>New</v>
      </c>
      <c r="S128" s="184">
        <f>IF(R128="New","",R128/J128)</f>
      </c>
      <c r="U128" s="207" t="s">
        <v>34</v>
      </c>
      <c r="V128" s="4" t="s">
        <v>12</v>
      </c>
      <c r="X128" s="163"/>
      <c r="Y128" s="163"/>
      <c r="Z128" s="163">
        <v>108</v>
      </c>
      <c r="AA128" s="32"/>
      <c r="AB128" s="163"/>
      <c r="AC128" s="32"/>
      <c r="AD128" s="163"/>
      <c r="AE128" s="32">
        <v>179.8</v>
      </c>
      <c r="AF128" s="163"/>
      <c r="AG128" s="32">
        <f t="shared" si="114"/>
        <v>0</v>
      </c>
      <c r="AH128" s="32">
        <f t="shared" si="115"/>
        <v>0</v>
      </c>
      <c r="AI128" s="32">
        <f t="shared" si="116"/>
        <v>287.8</v>
      </c>
      <c r="AJ128" s="33"/>
      <c r="AK128" s="33">
        <v>230000</v>
      </c>
      <c r="AL128" s="33"/>
      <c r="AM128" s="33">
        <v>230000</v>
      </c>
      <c r="AN128" s="33"/>
      <c r="AO128" s="33">
        <v>230000</v>
      </c>
      <c r="AP128" s="67">
        <f>AK128</f>
        <v>230000</v>
      </c>
      <c r="AQ128" s="34">
        <f>IF(AK128&gt;0,AM128/AK128*100,"Not Avail.")</f>
        <v>100</v>
      </c>
      <c r="AR128" s="67">
        <f>AM128</f>
        <v>230000</v>
      </c>
      <c r="AS128" s="34">
        <f>IF(AM128&gt;0,AO128/AM128*100,"Not Avail.")</f>
        <v>100</v>
      </c>
      <c r="AT128" s="28">
        <f t="shared" si="121"/>
      </c>
      <c r="AU128" s="28">
        <f t="shared" si="122"/>
      </c>
      <c r="AV128" s="28">
        <f>IF(AT128="","",SUM(AT128:AU128))</f>
      </c>
      <c r="AW128" s="24">
        <f t="shared" si="124"/>
      </c>
      <c r="AX128" s="24">
        <f t="shared" si="125"/>
      </c>
      <c r="AY128" s="24" t="str">
        <f>IF(AH128&gt;0,AI128-AV128,"New")</f>
        <v>New</v>
      </c>
      <c r="AZ128" s="156">
        <f>F128</f>
        <v>52272</v>
      </c>
      <c r="BA128" s="35">
        <f t="shared" si="128"/>
        <v>0.2272695652173913</v>
      </c>
      <c r="BB128" s="35">
        <f t="shared" si="129"/>
        <v>24.545113043478263</v>
      </c>
      <c r="BC128" s="36">
        <f t="shared" si="130"/>
        <v>40.86306782608696</v>
      </c>
      <c r="BD128" s="36">
        <f>BB128+BC128</f>
        <v>65.40818086956523</v>
      </c>
      <c r="BE128" s="36" t="str">
        <f>IF(BD128=K128,"yes","no")</f>
        <v>yes</v>
      </c>
      <c r="BF128" s="37">
        <f>IF(AM128="","",IF($F128&gt;0,($F128/AM128),IF($G128&gt;0,((((43560/($G128/12))*$H128)/$AM128)),0)))</f>
        <v>0.2272695652173913</v>
      </c>
      <c r="BG128" s="37">
        <f t="shared" si="134"/>
      </c>
      <c r="BH128" s="36">
        <f t="shared" si="135"/>
        <v>0</v>
      </c>
      <c r="BI128" s="38">
        <f>SUM(BG128:BH128)</f>
        <v>0</v>
      </c>
      <c r="BJ128" s="1" t="str">
        <f>IF(J128=BI128,"yes","no")</f>
        <v>yes</v>
      </c>
      <c r="BK128" s="37">
        <f aca="true" t="shared" si="142" ref="BK128:BL130">IF(BG128="","",IF(BG128=0,"",BB128-BG128))</f>
      </c>
      <c r="BL128" s="37">
        <f t="shared" si="142"/>
      </c>
      <c r="BM128" s="7">
        <f>IF(BK128="","",BD128-BI128)</f>
      </c>
      <c r="BN128" s="7" t="e">
        <f>R128-BM128</f>
        <v>#VALUE!</v>
      </c>
    </row>
    <row r="129" spans="3:66" ht="18" customHeight="1">
      <c r="C129" s="29"/>
      <c r="D129" s="157" t="s">
        <v>116</v>
      </c>
      <c r="E129" s="158" t="s">
        <v>36</v>
      </c>
      <c r="F129" s="79">
        <f t="shared" si="100"/>
        <v>52272</v>
      </c>
      <c r="G129" s="80">
        <f t="shared" si="101"/>
        <v>40</v>
      </c>
      <c r="H129" s="149">
        <f t="shared" si="102"/>
        <v>4</v>
      </c>
      <c r="I129" s="150">
        <f>IF(AK129="","",IF($F129&gt;0,($F129/$AK129)*AG129,IF($G129&gt;0,(((43560/($G129/12))*$H129)/$AK129)*AG129,0)))</f>
        <v>0</v>
      </c>
      <c r="J129" s="83">
        <f>BI129</f>
        <v>0</v>
      </c>
      <c r="K129" s="84">
        <f>BD129</f>
        <v>65.40818086956523</v>
      </c>
      <c r="L129" s="151">
        <f>BG129</f>
      </c>
      <c r="M129" s="152">
        <f>BB129</f>
        <v>24.545113043478263</v>
      </c>
      <c r="N129" s="188" t="str">
        <f>IF(R129="New","New",(M129/L129)-1)</f>
        <v>New</v>
      </c>
      <c r="O129" s="153">
        <f>IF(AW129="","",BH129)</f>
      </c>
      <c r="P129" s="154">
        <f>IF(BC129="","",BC129)</f>
        <v>40.86306782608696</v>
      </c>
      <c r="Q129" s="176" t="str">
        <f>IF(R129="New","New",IF(AX129="","",(P129/O129)-1))</f>
        <v>New</v>
      </c>
      <c r="R129" s="100" t="str">
        <f>IF(J129="","New",IF(J129=0,"New",K129-J129))</f>
        <v>New</v>
      </c>
      <c r="S129" s="184">
        <f>IF(R129="New","",R129/J129)</f>
      </c>
      <c r="U129" s="207" t="s">
        <v>34</v>
      </c>
      <c r="V129" s="4" t="s">
        <v>12</v>
      </c>
      <c r="X129" s="163"/>
      <c r="Y129" s="163"/>
      <c r="Z129" s="163">
        <v>108</v>
      </c>
      <c r="AA129" s="32"/>
      <c r="AB129" s="163"/>
      <c r="AC129" s="32"/>
      <c r="AD129" s="163"/>
      <c r="AE129" s="32">
        <v>179.8</v>
      </c>
      <c r="AF129" s="163"/>
      <c r="AG129" s="32">
        <f t="shared" si="114"/>
        <v>0</v>
      </c>
      <c r="AH129" s="32">
        <f t="shared" si="115"/>
        <v>0</v>
      </c>
      <c r="AI129" s="32">
        <f t="shared" si="116"/>
        <v>287.8</v>
      </c>
      <c r="AJ129" s="33"/>
      <c r="AK129" s="33">
        <v>230000</v>
      </c>
      <c r="AL129" s="33"/>
      <c r="AM129" s="33">
        <v>230000</v>
      </c>
      <c r="AN129" s="33"/>
      <c r="AO129" s="33">
        <v>230000</v>
      </c>
      <c r="AP129" s="67">
        <f>AK129</f>
        <v>230000</v>
      </c>
      <c r="AQ129" s="34">
        <f>IF(AK129&gt;0,AM129/AK129*100,"Not Avail.")</f>
        <v>100</v>
      </c>
      <c r="AR129" s="67">
        <f>AM129</f>
        <v>230000</v>
      </c>
      <c r="AS129" s="34">
        <f>IF(AM129&gt;0,AO129/AM129*100,"Not Avail.")</f>
        <v>100</v>
      </c>
      <c r="AT129" s="28">
        <f t="shared" si="121"/>
      </c>
      <c r="AU129" s="28">
        <f t="shared" si="122"/>
      </c>
      <c r="AV129" s="28">
        <f>IF(AT129="","",SUM(AT129:AU129))</f>
      </c>
      <c r="AW129" s="24">
        <f t="shared" si="124"/>
      </c>
      <c r="AX129" s="24">
        <f t="shared" si="125"/>
      </c>
      <c r="AY129" s="24" t="str">
        <f>IF(AH129&gt;0,AI129-AV129,"New")</f>
        <v>New</v>
      </c>
      <c r="AZ129" s="156">
        <f>F129</f>
        <v>52272</v>
      </c>
      <c r="BA129" s="35">
        <f t="shared" si="128"/>
        <v>0.2272695652173913</v>
      </c>
      <c r="BB129" s="35">
        <f t="shared" si="129"/>
        <v>24.545113043478263</v>
      </c>
      <c r="BC129" s="36">
        <f t="shared" si="130"/>
        <v>40.86306782608696</v>
      </c>
      <c r="BD129" s="36">
        <f>BB129+BC129</f>
        <v>65.40818086956523</v>
      </c>
      <c r="BE129" s="36" t="str">
        <f>IF(BD129=K129,"yes","no")</f>
        <v>yes</v>
      </c>
      <c r="BF129" s="37">
        <f>IF(AM129="","",IF($F129&gt;0,($F129/AM129),IF($G129&gt;0,((((43560/($G129/12))*$H129)/$AM129)),0)))</f>
        <v>0.2272695652173913</v>
      </c>
      <c r="BG129" s="37">
        <f t="shared" si="134"/>
      </c>
      <c r="BH129" s="36">
        <f t="shared" si="135"/>
        <v>0</v>
      </c>
      <c r="BI129" s="38">
        <f>SUM(BG129:BH129)</f>
        <v>0</v>
      </c>
      <c r="BJ129" s="1" t="str">
        <f>IF(J129=BI129,"yes","no")</f>
        <v>yes</v>
      </c>
      <c r="BK129" s="37">
        <f t="shared" si="142"/>
      </c>
      <c r="BL129" s="37">
        <f t="shared" si="142"/>
      </c>
      <c r="BM129" s="7">
        <f>IF(BK129="","",BD129-BI129)</f>
      </c>
      <c r="BN129" s="7" t="e">
        <f>R129-BM129</f>
        <v>#VALUE!</v>
      </c>
    </row>
    <row r="130" spans="3:66" ht="18" customHeight="1">
      <c r="C130" s="29"/>
      <c r="D130" s="157" t="s">
        <v>116</v>
      </c>
      <c r="E130" s="158" t="s">
        <v>37</v>
      </c>
      <c r="F130" s="79">
        <f t="shared" si="100"/>
        <v>52272</v>
      </c>
      <c r="G130" s="80">
        <f t="shared" si="101"/>
        <v>40</v>
      </c>
      <c r="H130" s="149">
        <f t="shared" si="102"/>
        <v>4</v>
      </c>
      <c r="I130" s="150">
        <f>IF(AK130="","",IF($F130&gt;0,($F130/$AK130)*AG130,IF($G130&gt;0,(((43560/($G130/12))*$H130)/$AK130)*AG130,0)))</f>
        <v>56.77193739130435</v>
      </c>
      <c r="J130" s="83">
        <f>BI130</f>
        <v>52.681085217391306</v>
      </c>
      <c r="K130" s="84">
        <f>BD130</f>
        <v>52.681085217391306</v>
      </c>
      <c r="L130" s="151">
        <f>BG130</f>
        <v>20.454260869565218</v>
      </c>
      <c r="M130" s="152">
        <f>BB130</f>
        <v>20.454260869565218</v>
      </c>
      <c r="N130" s="188">
        <f>IF(R130="New","New",(M130/L130)-1)</f>
        <v>0</v>
      </c>
      <c r="O130" s="153">
        <f>IF(AW130="","",BH130)</f>
        <v>32.22682434782609</v>
      </c>
      <c r="P130" s="154">
        <f>IF(BC130="","",BC130)</f>
        <v>32.22682434782609</v>
      </c>
      <c r="Q130" s="176">
        <f>IF(R130="New","New",IF(AX130="","",(P130/O130)-1))</f>
        <v>0</v>
      </c>
      <c r="R130" s="100">
        <f>IF(J130="","New",IF(J130=0,"New",K130-J130))</f>
        <v>0</v>
      </c>
      <c r="S130" s="184">
        <f>IF(R130="New","",R130/J130)</f>
        <v>0</v>
      </c>
      <c r="U130" s="207" t="s">
        <v>97</v>
      </c>
      <c r="V130" s="4" t="s">
        <v>12</v>
      </c>
      <c r="X130" s="163">
        <v>118</v>
      </c>
      <c r="Y130" s="163">
        <v>90</v>
      </c>
      <c r="Z130" s="163">
        <v>90</v>
      </c>
      <c r="AA130" s="32">
        <v>131.8</v>
      </c>
      <c r="AB130" s="163"/>
      <c r="AC130" s="32">
        <v>141.8</v>
      </c>
      <c r="AD130" s="163"/>
      <c r="AE130" s="32">
        <v>141.8</v>
      </c>
      <c r="AF130" s="163"/>
      <c r="AG130" s="32">
        <f t="shared" si="114"/>
        <v>249.8</v>
      </c>
      <c r="AH130" s="32">
        <f t="shared" si="115"/>
        <v>231.8</v>
      </c>
      <c r="AI130" s="32">
        <f t="shared" si="116"/>
        <v>231.8</v>
      </c>
      <c r="AJ130" s="33"/>
      <c r="AK130" s="33">
        <v>230000</v>
      </c>
      <c r="AL130" s="33"/>
      <c r="AM130" s="33">
        <v>230000</v>
      </c>
      <c r="AN130" s="33"/>
      <c r="AO130" s="33">
        <v>230000</v>
      </c>
      <c r="AP130" s="67">
        <f>AK130</f>
        <v>230000</v>
      </c>
      <c r="AQ130" s="34">
        <f>IF(AK130&gt;0,AM130/AK130*100,"Not Avail.")</f>
        <v>100</v>
      </c>
      <c r="AR130" s="67">
        <f>AM130</f>
        <v>230000</v>
      </c>
      <c r="AS130" s="34">
        <f>IF(AM130&gt;0,AO130/AM130*100,"Not Avail.")</f>
        <v>100</v>
      </c>
      <c r="AT130" s="28">
        <f t="shared" si="121"/>
        <v>90</v>
      </c>
      <c r="AU130" s="28">
        <f t="shared" si="122"/>
        <v>141.8</v>
      </c>
      <c r="AV130" s="28">
        <f>IF(AT130="","",SUM(AT130:AU130))</f>
        <v>231.8</v>
      </c>
      <c r="AW130" s="24">
        <f t="shared" si="124"/>
        <v>0</v>
      </c>
      <c r="AX130" s="24">
        <f t="shared" si="125"/>
        <v>0</v>
      </c>
      <c r="AY130" s="24">
        <f>IF(AH130&gt;0,AI130-AV130,"New")</f>
        <v>0</v>
      </c>
      <c r="AZ130" s="156">
        <f>F130</f>
        <v>52272</v>
      </c>
      <c r="BA130" s="35">
        <f t="shared" si="128"/>
        <v>0.2272695652173913</v>
      </c>
      <c r="BB130" s="35">
        <f t="shared" si="129"/>
        <v>20.454260869565218</v>
      </c>
      <c r="BC130" s="36">
        <f t="shared" si="130"/>
        <v>32.22682434782609</v>
      </c>
      <c r="BD130" s="36">
        <f>BB130+BC130</f>
        <v>52.681085217391306</v>
      </c>
      <c r="BE130" s="36" t="str">
        <f>IF(BD130=K130,"yes","no")</f>
        <v>yes</v>
      </c>
      <c r="BF130" s="37">
        <f>IF(AM130="","",IF($F130&gt;0,($F130/AM130),IF($G130&gt;0,((((43560/($G130/12))*$H130)/$AM130)),0)))</f>
        <v>0.2272695652173913</v>
      </c>
      <c r="BG130" s="37">
        <f t="shared" si="134"/>
        <v>20.454260869565218</v>
      </c>
      <c r="BH130" s="36">
        <f t="shared" si="135"/>
        <v>32.22682434782609</v>
      </c>
      <c r="BI130" s="38">
        <f>SUM(BG130:BH130)</f>
        <v>52.681085217391306</v>
      </c>
      <c r="BJ130" s="1" t="str">
        <f>IF(J130=BI130,"yes","no")</f>
        <v>yes</v>
      </c>
      <c r="BK130" s="37">
        <f t="shared" si="142"/>
        <v>0</v>
      </c>
      <c r="BL130" s="37">
        <f t="shared" si="142"/>
        <v>0</v>
      </c>
      <c r="BM130" s="7">
        <f>IF(BK130="","",BD130-BI130)</f>
        <v>0</v>
      </c>
      <c r="BN130" s="7">
        <f>R130-BM130</f>
        <v>0</v>
      </c>
    </row>
    <row r="131" spans="2:66" ht="18" customHeight="1">
      <c r="B131" s="4" t="s">
        <v>12</v>
      </c>
      <c r="C131" s="29" t="s">
        <v>97</v>
      </c>
      <c r="D131" s="159" t="s">
        <v>184</v>
      </c>
      <c r="E131" s="158" t="s">
        <v>114</v>
      </c>
      <c r="F131" s="79">
        <f t="shared" si="100"/>
        <v>52272</v>
      </c>
      <c r="G131" s="80">
        <f t="shared" si="101"/>
        <v>40</v>
      </c>
      <c r="H131" s="149">
        <f t="shared" si="102"/>
        <v>4</v>
      </c>
      <c r="I131" s="150">
        <f t="shared" si="103"/>
        <v>58.59009391304348</v>
      </c>
      <c r="J131" s="83">
        <f t="shared" si="104"/>
        <v>62.680946086956524</v>
      </c>
      <c r="K131" s="84">
        <f t="shared" si="105"/>
        <v>64.49910260869567</v>
      </c>
      <c r="L131" s="151">
        <f t="shared" si="106"/>
        <v>30.454121739130436</v>
      </c>
      <c r="M131" s="152">
        <f t="shared" si="107"/>
        <v>32.27227826086957</v>
      </c>
      <c r="N131" s="188">
        <f t="shared" si="108"/>
        <v>0.059701492537313605</v>
      </c>
      <c r="O131" s="153">
        <f t="shared" si="109"/>
        <v>32.22682434782609</v>
      </c>
      <c r="P131" s="154">
        <f t="shared" si="110"/>
        <v>32.22682434782609</v>
      </c>
      <c r="Q131" s="176">
        <f t="shared" si="111"/>
        <v>0</v>
      </c>
      <c r="R131" s="100">
        <f t="shared" si="112"/>
        <v>1.8181565217391409</v>
      </c>
      <c r="S131" s="184">
        <f t="shared" si="113"/>
        <v>0.029006526468455567</v>
      </c>
      <c r="U131" s="207" t="s">
        <v>97</v>
      </c>
      <c r="V131" s="4" t="s">
        <v>12</v>
      </c>
      <c r="X131" s="155">
        <v>126</v>
      </c>
      <c r="Y131" s="155">
        <v>134</v>
      </c>
      <c r="Z131" s="155">
        <v>142</v>
      </c>
      <c r="AA131" s="32">
        <v>131.8</v>
      </c>
      <c r="AB131" s="155"/>
      <c r="AC131" s="32">
        <v>141.8</v>
      </c>
      <c r="AD131" s="155"/>
      <c r="AE131" s="32">
        <v>141.8</v>
      </c>
      <c r="AF131" s="155"/>
      <c r="AG131" s="32">
        <f t="shared" si="114"/>
        <v>257.8</v>
      </c>
      <c r="AH131" s="32">
        <f t="shared" si="115"/>
        <v>275.8</v>
      </c>
      <c r="AI131" s="32">
        <f t="shared" si="116"/>
        <v>283.8</v>
      </c>
      <c r="AJ131" s="33"/>
      <c r="AK131" s="26">
        <v>230000</v>
      </c>
      <c r="AL131" s="33"/>
      <c r="AM131" s="26">
        <v>230000</v>
      </c>
      <c r="AN131" s="33"/>
      <c r="AO131" s="26">
        <v>230000</v>
      </c>
      <c r="AP131" s="67">
        <f t="shared" si="117"/>
        <v>230000</v>
      </c>
      <c r="AQ131" s="34">
        <f t="shared" si="118"/>
        <v>100</v>
      </c>
      <c r="AR131" s="67">
        <f t="shared" si="119"/>
        <v>230000</v>
      </c>
      <c r="AS131" s="34">
        <f t="shared" si="120"/>
        <v>100</v>
      </c>
      <c r="AT131" s="28">
        <f t="shared" si="121"/>
        <v>134</v>
      </c>
      <c r="AU131" s="28">
        <f t="shared" si="122"/>
        <v>141.8</v>
      </c>
      <c r="AV131" s="28">
        <f t="shared" si="123"/>
        <v>275.8</v>
      </c>
      <c r="AW131" s="24">
        <f t="shared" si="124"/>
        <v>8</v>
      </c>
      <c r="AX131" s="24">
        <f t="shared" si="125"/>
        <v>0</v>
      </c>
      <c r="AY131" s="24">
        <f t="shared" si="126"/>
        <v>8</v>
      </c>
      <c r="AZ131" s="156">
        <f t="shared" si="127"/>
        <v>52272</v>
      </c>
      <c r="BA131" s="35">
        <f t="shared" si="128"/>
        <v>0.2272695652173913</v>
      </c>
      <c r="BB131" s="35">
        <f t="shared" si="129"/>
        <v>32.27227826086957</v>
      </c>
      <c r="BC131" s="36">
        <f t="shared" si="130"/>
        <v>32.22682434782609</v>
      </c>
      <c r="BD131" s="36">
        <f t="shared" si="131"/>
        <v>64.49910260869567</v>
      </c>
      <c r="BE131" s="36" t="str">
        <f t="shared" si="132"/>
        <v>yes</v>
      </c>
      <c r="BF131" s="37">
        <f t="shared" si="133"/>
        <v>0.2272695652173913</v>
      </c>
      <c r="BG131" s="37">
        <f t="shared" si="134"/>
        <v>30.454121739130436</v>
      </c>
      <c r="BH131" s="36">
        <f t="shared" si="135"/>
        <v>32.22682434782609</v>
      </c>
      <c r="BI131" s="38">
        <f t="shared" si="136"/>
        <v>62.680946086956524</v>
      </c>
      <c r="BJ131" s="1" t="str">
        <f t="shared" si="137"/>
        <v>yes</v>
      </c>
      <c r="BK131" s="37">
        <f>IF(BG131="","",IF(BG131=0,"",BB131-BG131))</f>
        <v>1.8181565217391338</v>
      </c>
      <c r="BL131" s="37">
        <f t="shared" si="139"/>
        <v>0</v>
      </c>
      <c r="BM131" s="7">
        <f t="shared" si="140"/>
        <v>1.8181565217391409</v>
      </c>
      <c r="BN131" s="7">
        <f t="shared" si="141"/>
        <v>0</v>
      </c>
    </row>
    <row r="132" spans="3:66" ht="18" customHeight="1">
      <c r="C132" s="29"/>
      <c r="D132" s="159" t="s">
        <v>184</v>
      </c>
      <c r="E132" s="158" t="s">
        <v>172</v>
      </c>
      <c r="F132" s="79">
        <f t="shared" si="100"/>
        <v>52272</v>
      </c>
      <c r="G132" s="80">
        <f t="shared" si="101"/>
        <v>40</v>
      </c>
      <c r="H132" s="149">
        <f t="shared" si="102"/>
        <v>4</v>
      </c>
      <c r="I132" s="150">
        <f t="shared" si="103"/>
        <v>0</v>
      </c>
      <c r="J132" s="83">
        <f t="shared" si="104"/>
        <v>71.77172869565217</v>
      </c>
      <c r="K132" s="84">
        <f t="shared" si="105"/>
        <v>73.58988521739131</v>
      </c>
      <c r="L132" s="151">
        <f t="shared" si="106"/>
        <v>30.454121739130436</v>
      </c>
      <c r="M132" s="152">
        <f t="shared" si="107"/>
        <v>32.27227826086957</v>
      </c>
      <c r="N132" s="188">
        <f t="shared" si="108"/>
        <v>0.059701492537313605</v>
      </c>
      <c r="O132" s="153">
        <f t="shared" si="109"/>
        <v>41.31760695652174</v>
      </c>
      <c r="P132" s="154">
        <f t="shared" si="110"/>
        <v>41.31760695652174</v>
      </c>
      <c r="Q132" s="176">
        <f t="shared" si="111"/>
        <v>0</v>
      </c>
      <c r="R132" s="100">
        <f t="shared" si="112"/>
        <v>1.8181565217391409</v>
      </c>
      <c r="S132" s="184">
        <f t="shared" si="113"/>
        <v>0.025332488917036246</v>
      </c>
      <c r="U132" s="207" t="s">
        <v>110</v>
      </c>
      <c r="V132" s="4" t="s">
        <v>12</v>
      </c>
      <c r="X132" s="155"/>
      <c r="Y132" s="155">
        <v>134</v>
      </c>
      <c r="Z132" s="155">
        <v>142</v>
      </c>
      <c r="AA132" s="32"/>
      <c r="AB132" s="155"/>
      <c r="AC132" s="155">
        <v>141.8</v>
      </c>
      <c r="AD132" s="155">
        <v>40</v>
      </c>
      <c r="AE132" s="155">
        <v>141.8</v>
      </c>
      <c r="AF132" s="155">
        <v>40</v>
      </c>
      <c r="AG132" s="32">
        <f aca="true" t="shared" si="143" ref="AG132:AG146">X132+(AA132+AB132)</f>
        <v>0</v>
      </c>
      <c r="AH132" s="32">
        <f aca="true" t="shared" si="144" ref="AH132:AH146">Y132+(AC132+AD132)</f>
        <v>315.8</v>
      </c>
      <c r="AI132" s="32">
        <f aca="true" t="shared" si="145" ref="AI132:AI146">Z132+(AE132+AF132)</f>
        <v>323.8</v>
      </c>
      <c r="AJ132" s="33"/>
      <c r="AK132" s="26">
        <v>230000</v>
      </c>
      <c r="AL132" s="33"/>
      <c r="AM132" s="26">
        <v>230000</v>
      </c>
      <c r="AN132" s="33"/>
      <c r="AO132" s="26">
        <v>230000</v>
      </c>
      <c r="AP132" s="67">
        <f t="shared" si="117"/>
        <v>230000</v>
      </c>
      <c r="AQ132" s="34">
        <f t="shared" si="118"/>
        <v>100</v>
      </c>
      <c r="AR132" s="67">
        <f t="shared" si="119"/>
        <v>230000</v>
      </c>
      <c r="AS132" s="34">
        <f t="shared" si="120"/>
        <v>100</v>
      </c>
      <c r="AT132" s="28">
        <f aca="true" t="shared" si="146" ref="AT132:AT146">IF(Y132="","",Y132/AS132*100)</f>
        <v>134</v>
      </c>
      <c r="AU132" s="28">
        <f aca="true" t="shared" si="147" ref="AU132:AU146">IF(AC132="","",((AC132+AD132)/AS132*100))</f>
        <v>181.8</v>
      </c>
      <c r="AV132" s="28">
        <f t="shared" si="123"/>
        <v>315.8</v>
      </c>
      <c r="AW132" s="24">
        <f aca="true" t="shared" si="148" ref="AW132:AW146">IF(AT132="","",Z132-AT132)</f>
        <v>8</v>
      </c>
      <c r="AX132" s="24">
        <f aca="true" t="shared" si="149" ref="AX132:AX146">IF(AU132="","",(AE132+AF132)-AU132)</f>
        <v>0</v>
      </c>
      <c r="AY132" s="24">
        <f t="shared" si="126"/>
        <v>8</v>
      </c>
      <c r="AZ132" s="156">
        <f t="shared" si="127"/>
        <v>52272</v>
      </c>
      <c r="BA132" s="35">
        <f t="shared" si="128"/>
        <v>0.2272695652173913</v>
      </c>
      <c r="BB132" s="35">
        <f aca="true" t="shared" si="150" ref="BB132:BB146">Z132/(1/BA132)</f>
        <v>32.27227826086957</v>
      </c>
      <c r="BC132" s="36">
        <f aca="true" t="shared" si="151" ref="BC132:BC146">((AE132+AF132)/(1/BA132))</f>
        <v>41.31760695652174</v>
      </c>
      <c r="BD132" s="36">
        <f t="shared" si="131"/>
        <v>73.58988521739131</v>
      </c>
      <c r="BE132" s="36" t="str">
        <f t="shared" si="132"/>
        <v>yes</v>
      </c>
      <c r="BF132" s="37">
        <f t="shared" si="133"/>
        <v>0.2272695652173913</v>
      </c>
      <c r="BG132" s="37">
        <f aca="true" t="shared" si="152" ref="BG132:BG146">IF(Y132="","",Y132/(1/BF132))</f>
        <v>30.454121739130436</v>
      </c>
      <c r="BH132" s="36">
        <f aca="true" t="shared" si="153" ref="BH132:BH146">((AC132+AD132)/(1/BF132))</f>
        <v>41.31760695652174</v>
      </c>
      <c r="BI132" s="38">
        <f t="shared" si="136"/>
        <v>71.77172869565217</v>
      </c>
      <c r="BJ132" s="1" t="str">
        <f t="shared" si="137"/>
        <v>yes</v>
      </c>
      <c r="BK132" s="37">
        <f>IF(BG132="","",IF(BG132=0,"",BB132-BG132))</f>
        <v>1.8181565217391338</v>
      </c>
      <c r="BL132" s="37">
        <f t="shared" si="139"/>
        <v>0</v>
      </c>
      <c r="BM132" s="7">
        <f t="shared" si="140"/>
        <v>1.8181565217391409</v>
      </c>
      <c r="BN132" s="7">
        <f t="shared" si="141"/>
        <v>0</v>
      </c>
    </row>
    <row r="133" spans="2:66" ht="18" customHeight="1">
      <c r="B133" s="4" t="s">
        <v>12</v>
      </c>
      <c r="C133" s="29" t="s">
        <v>98</v>
      </c>
      <c r="D133" s="159" t="s">
        <v>184</v>
      </c>
      <c r="E133" s="158" t="s">
        <v>115</v>
      </c>
      <c r="F133" s="79">
        <f t="shared" si="100"/>
        <v>52272</v>
      </c>
      <c r="G133" s="80">
        <f t="shared" si="101"/>
        <v>40</v>
      </c>
      <c r="H133" s="149">
        <f t="shared" si="102"/>
        <v>4</v>
      </c>
      <c r="I133" s="150">
        <f t="shared" si="103"/>
        <v>67.68087652173914</v>
      </c>
      <c r="J133" s="83">
        <f t="shared" si="104"/>
        <v>71.77172869565217</v>
      </c>
      <c r="K133" s="84">
        <f t="shared" si="105"/>
        <v>73.58988521739131</v>
      </c>
      <c r="L133" s="151">
        <f t="shared" si="106"/>
        <v>30.454121739130436</v>
      </c>
      <c r="M133" s="152">
        <f t="shared" si="107"/>
        <v>32.27227826086957</v>
      </c>
      <c r="N133" s="188">
        <f t="shared" si="108"/>
        <v>0.059701492537313605</v>
      </c>
      <c r="O133" s="153">
        <f t="shared" si="109"/>
        <v>41.31760695652174</v>
      </c>
      <c r="P133" s="154">
        <f t="shared" si="110"/>
        <v>41.31760695652174</v>
      </c>
      <c r="Q133" s="176">
        <f t="shared" si="111"/>
        <v>0</v>
      </c>
      <c r="R133" s="100">
        <f t="shared" si="112"/>
        <v>1.8181565217391409</v>
      </c>
      <c r="S133" s="184">
        <f t="shared" si="113"/>
        <v>0.025332488917036246</v>
      </c>
      <c r="U133" s="207" t="s">
        <v>98</v>
      </c>
      <c r="V133" s="4" t="s">
        <v>12</v>
      </c>
      <c r="X133" s="155">
        <v>126</v>
      </c>
      <c r="Y133" s="155">
        <v>134</v>
      </c>
      <c r="Z133" s="155">
        <v>142</v>
      </c>
      <c r="AA133" s="155">
        <v>131.8</v>
      </c>
      <c r="AB133" s="155">
        <v>40</v>
      </c>
      <c r="AC133" s="155">
        <v>141.8</v>
      </c>
      <c r="AD133" s="155">
        <v>40</v>
      </c>
      <c r="AE133" s="155">
        <v>141.8</v>
      </c>
      <c r="AF133" s="155">
        <v>40</v>
      </c>
      <c r="AG133" s="32">
        <f t="shared" si="143"/>
        <v>297.8</v>
      </c>
      <c r="AH133" s="32">
        <f t="shared" si="144"/>
        <v>315.8</v>
      </c>
      <c r="AI133" s="32">
        <f t="shared" si="145"/>
        <v>323.8</v>
      </c>
      <c r="AJ133" s="33"/>
      <c r="AK133" s="26">
        <v>230000</v>
      </c>
      <c r="AL133" s="33"/>
      <c r="AM133" s="26">
        <v>230000</v>
      </c>
      <c r="AN133" s="33"/>
      <c r="AO133" s="26">
        <v>230000</v>
      </c>
      <c r="AP133" s="67">
        <f t="shared" si="117"/>
        <v>230000</v>
      </c>
      <c r="AQ133" s="34">
        <f t="shared" si="118"/>
        <v>100</v>
      </c>
      <c r="AR133" s="67">
        <f t="shared" si="119"/>
        <v>230000</v>
      </c>
      <c r="AS133" s="34">
        <f t="shared" si="120"/>
        <v>100</v>
      </c>
      <c r="AT133" s="28">
        <f t="shared" si="146"/>
        <v>134</v>
      </c>
      <c r="AU133" s="28">
        <f t="shared" si="147"/>
        <v>181.8</v>
      </c>
      <c r="AV133" s="28">
        <f t="shared" si="123"/>
        <v>315.8</v>
      </c>
      <c r="AW133" s="24">
        <f t="shared" si="148"/>
        <v>8</v>
      </c>
      <c r="AX133" s="24">
        <f t="shared" si="149"/>
        <v>0</v>
      </c>
      <c r="AY133" s="24">
        <f t="shared" si="126"/>
        <v>8</v>
      </c>
      <c r="AZ133" s="156">
        <f t="shared" si="127"/>
        <v>52272</v>
      </c>
      <c r="BA133" s="35">
        <f t="shared" si="128"/>
        <v>0.2272695652173913</v>
      </c>
      <c r="BB133" s="35">
        <f t="shared" si="150"/>
        <v>32.27227826086957</v>
      </c>
      <c r="BC133" s="36">
        <f t="shared" si="151"/>
        <v>41.31760695652174</v>
      </c>
      <c r="BD133" s="36">
        <f t="shared" si="131"/>
        <v>73.58988521739131</v>
      </c>
      <c r="BE133" s="36" t="str">
        <f t="shared" si="132"/>
        <v>yes</v>
      </c>
      <c r="BF133" s="37">
        <f t="shared" si="133"/>
        <v>0.2272695652173913</v>
      </c>
      <c r="BG133" s="37">
        <f t="shared" si="152"/>
        <v>30.454121739130436</v>
      </c>
      <c r="BH133" s="36">
        <f t="shared" si="153"/>
        <v>41.31760695652174</v>
      </c>
      <c r="BI133" s="38">
        <f t="shared" si="136"/>
        <v>71.77172869565217</v>
      </c>
      <c r="BJ133" s="1" t="str">
        <f t="shared" si="137"/>
        <v>yes</v>
      </c>
      <c r="BK133" s="37">
        <f>IF(BG133="","",IF(BG133=0,"",BB133-BG133))</f>
        <v>1.8181565217391338</v>
      </c>
      <c r="BL133" s="37">
        <f t="shared" si="139"/>
        <v>0</v>
      </c>
      <c r="BM133" s="7">
        <f t="shared" si="140"/>
        <v>1.8181565217391409</v>
      </c>
      <c r="BN133" s="7">
        <f t="shared" si="141"/>
        <v>0</v>
      </c>
    </row>
    <row r="134" spans="2:66" ht="18" customHeight="1">
      <c r="B134" s="4" t="s">
        <v>12</v>
      </c>
      <c r="C134" s="29" t="s">
        <v>142</v>
      </c>
      <c r="D134" s="159" t="s">
        <v>184</v>
      </c>
      <c r="E134" s="158" t="s">
        <v>194</v>
      </c>
      <c r="F134" s="79">
        <f t="shared" si="100"/>
        <v>52272</v>
      </c>
      <c r="G134" s="80">
        <f t="shared" si="101"/>
        <v>40</v>
      </c>
      <c r="H134" s="149">
        <f t="shared" si="102"/>
        <v>4</v>
      </c>
      <c r="I134" s="150">
        <f t="shared" si="103"/>
        <v>35.45405217391304</v>
      </c>
      <c r="J134" s="83">
        <f t="shared" si="104"/>
        <v>37.272208695652175</v>
      </c>
      <c r="K134" s="84">
        <f t="shared" si="105"/>
        <v>41.363060869565224</v>
      </c>
      <c r="L134" s="151">
        <f t="shared" si="106"/>
        <v>28.181426086956524</v>
      </c>
      <c r="M134" s="152">
        <f t="shared" si="107"/>
        <v>32.27227826086957</v>
      </c>
      <c r="N134" s="188">
        <f t="shared" si="108"/>
        <v>0.14516129032258074</v>
      </c>
      <c r="O134" s="153">
        <f t="shared" si="109"/>
        <v>9.090782608695653</v>
      </c>
      <c r="P134" s="154">
        <f t="shared" si="110"/>
        <v>9.090782608695653</v>
      </c>
      <c r="Q134" s="176">
        <f t="shared" si="111"/>
      </c>
      <c r="R134" s="100">
        <f t="shared" si="112"/>
        <v>4.090852173913049</v>
      </c>
      <c r="S134" s="184">
        <f t="shared" si="113"/>
        <v>0.10975609756097576</v>
      </c>
      <c r="U134" s="207" t="s">
        <v>240</v>
      </c>
      <c r="V134" s="4" t="s">
        <v>12</v>
      </c>
      <c r="X134" s="155">
        <v>116</v>
      </c>
      <c r="Y134" s="155">
        <v>124</v>
      </c>
      <c r="Z134" s="155">
        <v>142</v>
      </c>
      <c r="AA134" s="155"/>
      <c r="AB134" s="155">
        <v>40</v>
      </c>
      <c r="AC134" s="155"/>
      <c r="AD134" s="155">
        <v>40</v>
      </c>
      <c r="AE134" s="155"/>
      <c r="AF134" s="155">
        <v>40</v>
      </c>
      <c r="AG134" s="32">
        <f t="shared" si="143"/>
        <v>156</v>
      </c>
      <c r="AH134" s="32">
        <f t="shared" si="144"/>
        <v>164</v>
      </c>
      <c r="AI134" s="32">
        <f t="shared" si="145"/>
        <v>182</v>
      </c>
      <c r="AJ134" s="33"/>
      <c r="AK134" s="26">
        <v>230000</v>
      </c>
      <c r="AL134" s="33"/>
      <c r="AM134" s="26">
        <v>230000</v>
      </c>
      <c r="AN134" s="33"/>
      <c r="AO134" s="26">
        <v>230000</v>
      </c>
      <c r="AP134" s="67">
        <f t="shared" si="117"/>
        <v>230000</v>
      </c>
      <c r="AQ134" s="34">
        <f t="shared" si="118"/>
        <v>100</v>
      </c>
      <c r="AR134" s="67">
        <f t="shared" si="119"/>
        <v>230000</v>
      </c>
      <c r="AS134" s="34">
        <f t="shared" si="120"/>
        <v>100</v>
      </c>
      <c r="AT134" s="28">
        <f t="shared" si="146"/>
        <v>124</v>
      </c>
      <c r="AU134" s="28">
        <f t="shared" si="147"/>
      </c>
      <c r="AV134" s="28">
        <f t="shared" si="123"/>
        <v>124</v>
      </c>
      <c r="AW134" s="24">
        <f t="shared" si="148"/>
        <v>18</v>
      </c>
      <c r="AX134" s="24">
        <f t="shared" si="149"/>
      </c>
      <c r="AY134" s="24">
        <f t="shared" si="126"/>
        <v>58</v>
      </c>
      <c r="AZ134" s="156">
        <f t="shared" si="127"/>
        <v>52272</v>
      </c>
      <c r="BA134" s="35">
        <f t="shared" si="128"/>
        <v>0.2272695652173913</v>
      </c>
      <c r="BB134" s="35">
        <f t="shared" si="150"/>
        <v>32.27227826086957</v>
      </c>
      <c r="BC134" s="36">
        <f t="shared" si="151"/>
        <v>9.090782608695653</v>
      </c>
      <c r="BD134" s="36">
        <f t="shared" si="131"/>
        <v>41.363060869565224</v>
      </c>
      <c r="BE134" s="36" t="str">
        <f t="shared" si="132"/>
        <v>yes</v>
      </c>
      <c r="BF134" s="37">
        <f t="shared" si="133"/>
        <v>0.2272695652173913</v>
      </c>
      <c r="BG134" s="37">
        <f t="shared" si="152"/>
        <v>28.181426086956524</v>
      </c>
      <c r="BH134" s="36">
        <f t="shared" si="153"/>
        <v>9.090782608695653</v>
      </c>
      <c r="BI134" s="38">
        <f t="shared" si="136"/>
        <v>37.272208695652175</v>
      </c>
      <c r="BJ134" s="1" t="str">
        <f t="shared" si="137"/>
        <v>yes</v>
      </c>
      <c r="BK134" s="37">
        <f>IF(BG134="","",IF(BG134=0,"",BB134-BG134))</f>
        <v>4.090852173913046</v>
      </c>
      <c r="BL134" s="37">
        <f t="shared" si="139"/>
        <v>0</v>
      </c>
      <c r="BM134" s="7">
        <f t="shared" si="140"/>
        <v>4.090852173913049</v>
      </c>
      <c r="BN134" s="7">
        <f t="shared" si="141"/>
        <v>0</v>
      </c>
    </row>
    <row r="135" spans="2:68" ht="18" customHeight="1">
      <c r="B135" s="4" t="s">
        <v>12</v>
      </c>
      <c r="C135" s="4" t="s">
        <v>98</v>
      </c>
      <c r="D135" s="157" t="s">
        <v>184</v>
      </c>
      <c r="E135" s="158" t="s">
        <v>93</v>
      </c>
      <c r="F135" s="79">
        <f aca="true" t="shared" si="154" ref="F135:F146">IF($J$11&gt;0,$J$11,$M$11)</f>
        <v>52272</v>
      </c>
      <c r="G135" s="80">
        <f aca="true" t="shared" si="155" ref="G135:G146">$K$11</f>
        <v>40</v>
      </c>
      <c r="H135" s="149">
        <f aca="true" t="shared" si="156" ref="H135:H146">$L$11</f>
        <v>4</v>
      </c>
      <c r="I135" s="150">
        <f aca="true" t="shared" si="157" ref="I135:I146">IF(AK135="","",IF($F135&gt;0,($F135/$AK135)*AG135,IF($G135&gt;0,(((43560/($G135/12))*$H135)/$AK135)*AG135,0)))</f>
        <v>67.68087652173914</v>
      </c>
      <c r="J135" s="83">
        <f aca="true" t="shared" si="158" ref="J135:J146">BI135</f>
        <v>71.77172869565217</v>
      </c>
      <c r="K135" s="84">
        <f aca="true" t="shared" si="159" ref="K135:K146">BD135</f>
        <v>73.58988521739131</v>
      </c>
      <c r="L135" s="151">
        <f aca="true" t="shared" si="160" ref="L135:L146">BG135</f>
        <v>30.454121739130436</v>
      </c>
      <c r="M135" s="152">
        <f aca="true" t="shared" si="161" ref="M135:M146">BB135</f>
        <v>32.27227826086957</v>
      </c>
      <c r="N135" s="188">
        <f aca="true" t="shared" si="162" ref="N135:N146">IF(R135="New","New",(M135/L135)-1)</f>
        <v>0.059701492537313605</v>
      </c>
      <c r="O135" s="153">
        <f aca="true" t="shared" si="163" ref="O135:O146">IF(AW135="","",BH135)</f>
        <v>41.31760695652174</v>
      </c>
      <c r="P135" s="154">
        <f aca="true" t="shared" si="164" ref="P135:P146">IF(BC135="","",BC135)</f>
        <v>41.31760695652174</v>
      </c>
      <c r="Q135" s="176">
        <f aca="true" t="shared" si="165" ref="Q135:Q146">IF(R135="New","New",IF(AX135="","",(P135/O135)-1))</f>
        <v>0</v>
      </c>
      <c r="R135" s="100">
        <f aca="true" t="shared" si="166" ref="R135:R146">IF(J135="","New",IF(J135=0,"New",K135-J135))</f>
        <v>1.8181565217391409</v>
      </c>
      <c r="S135" s="184">
        <f aca="true" t="shared" si="167" ref="S135:S146">IF(R135="New","",R135/J135)</f>
        <v>0.025332488917036246</v>
      </c>
      <c r="U135" s="208" t="s">
        <v>98</v>
      </c>
      <c r="V135" s="4" t="s">
        <v>12</v>
      </c>
      <c r="X135" s="32">
        <v>126</v>
      </c>
      <c r="Y135" s="32">
        <v>134</v>
      </c>
      <c r="Z135" s="32">
        <v>142</v>
      </c>
      <c r="AA135" s="32">
        <v>131.8</v>
      </c>
      <c r="AB135" s="32">
        <v>40</v>
      </c>
      <c r="AC135" s="32">
        <v>141.8</v>
      </c>
      <c r="AD135" s="32">
        <v>40</v>
      </c>
      <c r="AE135" s="32">
        <v>141.8</v>
      </c>
      <c r="AF135" s="32">
        <v>40</v>
      </c>
      <c r="AG135" s="32">
        <f t="shared" si="143"/>
        <v>297.8</v>
      </c>
      <c r="AH135" s="32">
        <f t="shared" si="144"/>
        <v>315.8</v>
      </c>
      <c r="AI135" s="32">
        <f t="shared" si="145"/>
        <v>323.8</v>
      </c>
      <c r="AJ135" s="33"/>
      <c r="AK135" s="26">
        <v>230000</v>
      </c>
      <c r="AL135" s="33"/>
      <c r="AM135" s="26">
        <v>230000</v>
      </c>
      <c r="AN135" s="33"/>
      <c r="AO135" s="26">
        <v>230000</v>
      </c>
      <c r="AP135" s="67">
        <f aca="true" t="shared" si="168" ref="AP135:AP146">AK135</f>
        <v>230000</v>
      </c>
      <c r="AQ135" s="34">
        <f aca="true" t="shared" si="169" ref="AQ135:AQ146">IF(AK135&gt;0,AM135/AK135*100,"Not Avail.")</f>
        <v>100</v>
      </c>
      <c r="AR135" s="67">
        <f aca="true" t="shared" si="170" ref="AR135:AR146">AM135</f>
        <v>230000</v>
      </c>
      <c r="AS135" s="34">
        <f aca="true" t="shared" si="171" ref="AS135:AS146">IF(AM135&gt;0,AO135/AM135*100,"Not Avail.")</f>
        <v>100</v>
      </c>
      <c r="AT135" s="28">
        <f t="shared" si="146"/>
        <v>134</v>
      </c>
      <c r="AU135" s="28">
        <f t="shared" si="147"/>
        <v>181.8</v>
      </c>
      <c r="AV135" s="28">
        <f aca="true" t="shared" si="172" ref="AV135:AV146">IF(AT135="","",SUM(AT135:AU135))</f>
        <v>315.8</v>
      </c>
      <c r="AW135" s="24">
        <f t="shared" si="148"/>
        <v>8</v>
      </c>
      <c r="AX135" s="24">
        <f t="shared" si="149"/>
        <v>0</v>
      </c>
      <c r="AY135" s="24">
        <f aca="true" t="shared" si="173" ref="AY135:AY146">IF(AH135&gt;0,AI135-AV135,"New")</f>
        <v>8</v>
      </c>
      <c r="AZ135" s="156">
        <f aca="true" t="shared" si="174" ref="AZ135:AZ146">F135</f>
        <v>52272</v>
      </c>
      <c r="BA135" s="35">
        <f aca="true" t="shared" si="175" ref="BA135:BA146">IF($F135&gt;0,($F135/$AO135),IF($G135&gt;0,(((43560/($G135/12))*$H135)/$AO135),0))</f>
        <v>0.2272695652173913</v>
      </c>
      <c r="BB135" s="35">
        <f t="shared" si="150"/>
        <v>32.27227826086957</v>
      </c>
      <c r="BC135" s="36">
        <f t="shared" si="151"/>
        <v>41.31760695652174</v>
      </c>
      <c r="BD135" s="36">
        <f aca="true" t="shared" si="176" ref="BD135:BD146">BB135+BC135</f>
        <v>73.58988521739131</v>
      </c>
      <c r="BE135" s="36" t="str">
        <f aca="true" t="shared" si="177" ref="BE135:BE146">IF(BD135=K135,"yes","no")</f>
        <v>yes</v>
      </c>
      <c r="BF135" s="37">
        <f aca="true" t="shared" si="178" ref="BF135:BF146">IF(AM135="","",IF($F135&gt;0,($F135/AM135),IF($G135&gt;0,((((43560/($G135/12))*$H135)/$AM135)),0)))</f>
        <v>0.2272695652173913</v>
      </c>
      <c r="BG135" s="37">
        <f t="shared" si="152"/>
        <v>30.454121739130436</v>
      </c>
      <c r="BH135" s="36">
        <f t="shared" si="153"/>
        <v>41.31760695652174</v>
      </c>
      <c r="BI135" s="38">
        <f aca="true" t="shared" si="179" ref="BI135:BI146">SUM(BG135:BH135)</f>
        <v>71.77172869565217</v>
      </c>
      <c r="BJ135" s="1" t="str">
        <f aca="true" t="shared" si="180" ref="BJ135:BJ146">IF(J135=BI135,"yes","no")</f>
        <v>yes</v>
      </c>
      <c r="BK135" s="37">
        <f aca="true" t="shared" si="181" ref="BK135:BK146">IF(BG135="","",IF(BG135=0,"",BB135-BG135))</f>
        <v>1.8181565217391338</v>
      </c>
      <c r="BL135" s="37">
        <f aca="true" t="shared" si="182" ref="BL135:BL146">IF(BH135="","",IF(BH135=0,"",BC135-BH135))</f>
        <v>0</v>
      </c>
      <c r="BM135" s="7">
        <f aca="true" t="shared" si="183" ref="BM135:BM146">IF(BK135="","",BD135-BI135)</f>
        <v>1.8181565217391409</v>
      </c>
      <c r="BN135" s="7">
        <f aca="true" t="shared" si="184" ref="BN135:BN146">R135-BM135</f>
        <v>0</v>
      </c>
      <c r="BO135" s="38"/>
      <c r="BP135" s="38"/>
    </row>
    <row r="136" spans="4:68" ht="18" customHeight="1">
      <c r="D136" s="157" t="s">
        <v>184</v>
      </c>
      <c r="E136" s="158" t="s">
        <v>56</v>
      </c>
      <c r="F136" s="79">
        <f t="shared" si="154"/>
        <v>52272</v>
      </c>
      <c r="G136" s="80">
        <f t="shared" si="155"/>
        <v>40</v>
      </c>
      <c r="H136" s="149">
        <f t="shared" si="156"/>
        <v>4</v>
      </c>
      <c r="I136" s="150">
        <f>IF(AK136="","",IF($F136&gt;0,($F136/$AK136)*AG136,IF($G136&gt;0,(((43560/($G136/12))*$H136)/$AK136)*AG136,0)))</f>
        <v>0</v>
      </c>
      <c r="J136" s="83">
        <f>BI136</f>
        <v>0</v>
      </c>
      <c r="K136" s="84">
        <f>BD136</f>
        <v>73.58988521739131</v>
      </c>
      <c r="L136" s="151">
        <f>BG136</f>
      </c>
      <c r="M136" s="152">
        <f>BB136</f>
        <v>32.27227826086957</v>
      </c>
      <c r="N136" s="188" t="str">
        <f>IF(R136="New","New",(M136/L136)-1)</f>
        <v>New</v>
      </c>
      <c r="O136" s="153">
        <f>IF(AW136="","",BH136)</f>
      </c>
      <c r="P136" s="154">
        <f>IF(BC136="","",BC136)</f>
        <v>41.31760695652174</v>
      </c>
      <c r="Q136" s="176" t="str">
        <f>IF(R136="New","New",IF(AX136="","",(P136/O136)-1))</f>
        <v>New</v>
      </c>
      <c r="R136" s="100" t="str">
        <f>IF(J136="","New",IF(J136=0,"New",K136-J136))</f>
        <v>New</v>
      </c>
      <c r="S136" s="184">
        <f>IF(R136="New","",R136/J136)</f>
      </c>
      <c r="U136" s="208" t="s">
        <v>98</v>
      </c>
      <c r="V136" s="4" t="s">
        <v>12</v>
      </c>
      <c r="X136" s="32"/>
      <c r="Y136" s="32"/>
      <c r="Z136" s="32">
        <v>142</v>
      </c>
      <c r="AA136" s="32"/>
      <c r="AB136" s="32"/>
      <c r="AC136" s="32"/>
      <c r="AD136" s="32"/>
      <c r="AE136" s="32">
        <v>141.8</v>
      </c>
      <c r="AF136" s="32">
        <v>40</v>
      </c>
      <c r="AG136" s="32">
        <f t="shared" si="143"/>
        <v>0</v>
      </c>
      <c r="AH136" s="32">
        <f t="shared" si="144"/>
        <v>0</v>
      </c>
      <c r="AI136" s="32">
        <f t="shared" si="145"/>
        <v>323.8</v>
      </c>
      <c r="AJ136" s="33"/>
      <c r="AK136" s="26">
        <v>230000</v>
      </c>
      <c r="AL136" s="33"/>
      <c r="AM136" s="26">
        <v>230000</v>
      </c>
      <c r="AN136" s="33"/>
      <c r="AO136" s="26">
        <v>230000</v>
      </c>
      <c r="AP136" s="67">
        <f>AK136</f>
        <v>230000</v>
      </c>
      <c r="AQ136" s="34">
        <f>IF(AK136&gt;0,AM136/AK136*100,"Not Avail.")</f>
        <v>100</v>
      </c>
      <c r="AR136" s="67">
        <f>AM136</f>
        <v>230000</v>
      </c>
      <c r="AS136" s="34">
        <f>IF(AM136&gt;0,AO136/AM136*100,"Not Avail.")</f>
        <v>100</v>
      </c>
      <c r="AT136" s="28">
        <f t="shared" si="146"/>
      </c>
      <c r="AU136" s="28">
        <f t="shared" si="147"/>
      </c>
      <c r="AV136" s="28">
        <f>IF(AT136="","",SUM(AT136:AU136))</f>
      </c>
      <c r="AW136" s="24">
        <f t="shared" si="148"/>
      </c>
      <c r="AX136" s="24">
        <f t="shared" si="149"/>
      </c>
      <c r="AY136" s="24" t="str">
        <f>IF(AH136&gt;0,AI136-AV136,"New")</f>
        <v>New</v>
      </c>
      <c r="AZ136" s="156">
        <f>F136</f>
        <v>52272</v>
      </c>
      <c r="BA136" s="35">
        <f t="shared" si="175"/>
        <v>0.2272695652173913</v>
      </c>
      <c r="BB136" s="35">
        <f t="shared" si="150"/>
        <v>32.27227826086957</v>
      </c>
      <c r="BC136" s="36">
        <f t="shared" si="151"/>
        <v>41.31760695652174</v>
      </c>
      <c r="BD136" s="36">
        <f>BB136+BC136</f>
        <v>73.58988521739131</v>
      </c>
      <c r="BE136" s="36" t="str">
        <f>IF(BD136=K136,"yes","no")</f>
        <v>yes</v>
      </c>
      <c r="BF136" s="37">
        <f>IF(AM136="","",IF($F136&gt;0,($F136/AM136),IF($G136&gt;0,((((43560/($G136/12))*$H136)/$AM136)),0)))</f>
        <v>0.2272695652173913</v>
      </c>
      <c r="BG136" s="37">
        <f t="shared" si="152"/>
      </c>
      <c r="BH136" s="36">
        <f t="shared" si="153"/>
        <v>0</v>
      </c>
      <c r="BI136" s="38">
        <f>SUM(BG136:BH136)</f>
        <v>0</v>
      </c>
      <c r="BJ136" s="1" t="str">
        <f>IF(J136=BI136,"yes","no")</f>
        <v>yes</v>
      </c>
      <c r="BK136" s="37">
        <f>IF(BG136="","",IF(BG136=0,"",BB136-BG136))</f>
      </c>
      <c r="BL136" s="37">
        <f>IF(BH136="","",IF(BH136=0,"",BC136-BH136))</f>
      </c>
      <c r="BM136" s="7">
        <f>IF(BK136="","",BD136-BI136)</f>
      </c>
      <c r="BN136" s="7" t="e">
        <f>R136-BM136</f>
        <v>#VALUE!</v>
      </c>
      <c r="BO136" s="38"/>
      <c r="BP136" s="38"/>
    </row>
    <row r="137" spans="3:66" ht="18" customHeight="1">
      <c r="C137" s="29"/>
      <c r="D137" s="159" t="s">
        <v>184</v>
      </c>
      <c r="E137" s="158" t="s">
        <v>171</v>
      </c>
      <c r="F137" s="79">
        <f t="shared" si="154"/>
        <v>52272</v>
      </c>
      <c r="G137" s="80">
        <f t="shared" si="155"/>
        <v>40</v>
      </c>
      <c r="H137" s="149">
        <f t="shared" si="156"/>
        <v>4</v>
      </c>
      <c r="I137" s="150">
        <f t="shared" si="157"/>
        <v>0</v>
      </c>
      <c r="J137" s="83">
        <f t="shared" si="158"/>
        <v>62.680946086956524</v>
      </c>
      <c r="K137" s="84">
        <f t="shared" si="159"/>
        <v>64.49910260869567</v>
      </c>
      <c r="L137" s="151">
        <f t="shared" si="160"/>
        <v>30.454121739130436</v>
      </c>
      <c r="M137" s="152">
        <f t="shared" si="161"/>
        <v>32.27227826086957</v>
      </c>
      <c r="N137" s="188">
        <f t="shared" si="162"/>
        <v>0.059701492537313605</v>
      </c>
      <c r="O137" s="153">
        <f t="shared" si="163"/>
        <v>32.22682434782609</v>
      </c>
      <c r="P137" s="154">
        <f t="shared" si="164"/>
        <v>32.22682434782609</v>
      </c>
      <c r="Q137" s="176">
        <f t="shared" si="165"/>
        <v>0</v>
      </c>
      <c r="R137" s="100">
        <f t="shared" si="166"/>
        <v>1.8181565217391409</v>
      </c>
      <c r="S137" s="184">
        <f t="shared" si="167"/>
        <v>0.029006526468455567</v>
      </c>
      <c r="U137" s="207" t="s">
        <v>111</v>
      </c>
      <c r="V137" s="4" t="s">
        <v>12</v>
      </c>
      <c r="X137" s="155"/>
      <c r="Y137" s="155">
        <v>134</v>
      </c>
      <c r="Z137" s="155">
        <v>142</v>
      </c>
      <c r="AA137" s="32"/>
      <c r="AB137" s="155"/>
      <c r="AC137" s="155">
        <v>141.8</v>
      </c>
      <c r="AD137" s="155"/>
      <c r="AE137" s="155">
        <v>141.8</v>
      </c>
      <c r="AF137" s="155"/>
      <c r="AG137" s="32">
        <f t="shared" si="143"/>
        <v>0</v>
      </c>
      <c r="AH137" s="32">
        <f t="shared" si="144"/>
        <v>275.8</v>
      </c>
      <c r="AI137" s="32">
        <f t="shared" si="145"/>
        <v>283.8</v>
      </c>
      <c r="AJ137" s="33"/>
      <c r="AK137" s="26">
        <v>230000</v>
      </c>
      <c r="AL137" s="33"/>
      <c r="AM137" s="26">
        <v>230000</v>
      </c>
      <c r="AN137" s="33"/>
      <c r="AO137" s="26">
        <v>230000</v>
      </c>
      <c r="AP137" s="67">
        <f t="shared" si="168"/>
        <v>230000</v>
      </c>
      <c r="AQ137" s="34">
        <f t="shared" si="169"/>
        <v>100</v>
      </c>
      <c r="AR137" s="67">
        <f t="shared" si="170"/>
        <v>230000</v>
      </c>
      <c r="AS137" s="34">
        <f t="shared" si="171"/>
        <v>100</v>
      </c>
      <c r="AT137" s="28">
        <f t="shared" si="146"/>
        <v>134</v>
      </c>
      <c r="AU137" s="28">
        <f t="shared" si="147"/>
        <v>141.8</v>
      </c>
      <c r="AV137" s="28">
        <f t="shared" si="172"/>
        <v>275.8</v>
      </c>
      <c r="AW137" s="24">
        <f t="shared" si="148"/>
        <v>8</v>
      </c>
      <c r="AX137" s="24">
        <f t="shared" si="149"/>
        <v>0</v>
      </c>
      <c r="AY137" s="24">
        <f t="shared" si="173"/>
        <v>8</v>
      </c>
      <c r="AZ137" s="156">
        <f t="shared" si="174"/>
        <v>52272</v>
      </c>
      <c r="BA137" s="35">
        <f t="shared" si="175"/>
        <v>0.2272695652173913</v>
      </c>
      <c r="BB137" s="35">
        <f t="shared" si="150"/>
        <v>32.27227826086957</v>
      </c>
      <c r="BC137" s="36">
        <f t="shared" si="151"/>
        <v>32.22682434782609</v>
      </c>
      <c r="BD137" s="36">
        <f t="shared" si="176"/>
        <v>64.49910260869567</v>
      </c>
      <c r="BE137" s="36" t="str">
        <f t="shared" si="177"/>
        <v>yes</v>
      </c>
      <c r="BF137" s="37">
        <f t="shared" si="178"/>
        <v>0.2272695652173913</v>
      </c>
      <c r="BG137" s="37">
        <f t="shared" si="152"/>
        <v>30.454121739130436</v>
      </c>
      <c r="BH137" s="36">
        <f t="shared" si="153"/>
        <v>32.22682434782609</v>
      </c>
      <c r="BI137" s="38">
        <f t="shared" si="179"/>
        <v>62.680946086956524</v>
      </c>
      <c r="BJ137" s="1" t="str">
        <f t="shared" si="180"/>
        <v>yes</v>
      </c>
      <c r="BK137" s="37">
        <f t="shared" si="181"/>
        <v>1.8181565217391338</v>
      </c>
      <c r="BL137" s="37">
        <f t="shared" si="182"/>
        <v>0</v>
      </c>
      <c r="BM137" s="7">
        <f t="shared" si="183"/>
        <v>1.8181565217391409</v>
      </c>
      <c r="BN137" s="7">
        <f t="shared" si="184"/>
        <v>0</v>
      </c>
    </row>
    <row r="138" spans="3:66" ht="18" customHeight="1">
      <c r="C138" s="29"/>
      <c r="D138" s="159" t="s">
        <v>184</v>
      </c>
      <c r="E138" s="158" t="s">
        <v>109</v>
      </c>
      <c r="F138" s="79">
        <f t="shared" si="154"/>
        <v>52272</v>
      </c>
      <c r="G138" s="80">
        <f t="shared" si="155"/>
        <v>40</v>
      </c>
      <c r="H138" s="149">
        <f t="shared" si="156"/>
        <v>4</v>
      </c>
      <c r="I138" s="150">
        <f t="shared" si="157"/>
        <v>0</v>
      </c>
      <c r="J138" s="83">
        <f t="shared" si="158"/>
        <v>71.77172869565217</v>
      </c>
      <c r="K138" s="84">
        <f t="shared" si="159"/>
        <v>73.58988521739131</v>
      </c>
      <c r="L138" s="151">
        <f t="shared" si="160"/>
        <v>30.454121739130436</v>
      </c>
      <c r="M138" s="152">
        <f t="shared" si="161"/>
        <v>32.27227826086957</v>
      </c>
      <c r="N138" s="188">
        <f t="shared" si="162"/>
        <v>0.059701492537313605</v>
      </c>
      <c r="O138" s="153">
        <f t="shared" si="163"/>
        <v>41.31760695652174</v>
      </c>
      <c r="P138" s="154">
        <f t="shared" si="164"/>
        <v>41.31760695652174</v>
      </c>
      <c r="Q138" s="176">
        <f t="shared" si="165"/>
        <v>0</v>
      </c>
      <c r="R138" s="100">
        <f t="shared" si="166"/>
        <v>1.8181565217391409</v>
      </c>
      <c r="S138" s="184">
        <f t="shared" si="167"/>
        <v>0.025332488917036246</v>
      </c>
      <c r="U138" s="207" t="s">
        <v>112</v>
      </c>
      <c r="V138" s="4" t="s">
        <v>12</v>
      </c>
      <c r="X138" s="155"/>
      <c r="Y138" s="155">
        <v>134</v>
      </c>
      <c r="Z138" s="155">
        <v>142</v>
      </c>
      <c r="AA138" s="32"/>
      <c r="AB138" s="155"/>
      <c r="AC138" s="155">
        <v>141.8</v>
      </c>
      <c r="AD138" s="155">
        <v>40</v>
      </c>
      <c r="AE138" s="155">
        <v>141.8</v>
      </c>
      <c r="AF138" s="155">
        <v>40</v>
      </c>
      <c r="AG138" s="32">
        <f t="shared" si="143"/>
        <v>0</v>
      </c>
      <c r="AH138" s="32">
        <f t="shared" si="144"/>
        <v>315.8</v>
      </c>
      <c r="AI138" s="32">
        <f t="shared" si="145"/>
        <v>323.8</v>
      </c>
      <c r="AJ138" s="33"/>
      <c r="AK138" s="26">
        <v>230000</v>
      </c>
      <c r="AL138" s="33"/>
      <c r="AM138" s="26">
        <v>230000</v>
      </c>
      <c r="AN138" s="33"/>
      <c r="AO138" s="26">
        <v>230000</v>
      </c>
      <c r="AP138" s="67">
        <f t="shared" si="168"/>
        <v>230000</v>
      </c>
      <c r="AQ138" s="34">
        <f t="shared" si="169"/>
        <v>100</v>
      </c>
      <c r="AR138" s="67">
        <f t="shared" si="170"/>
        <v>230000</v>
      </c>
      <c r="AS138" s="34">
        <f t="shared" si="171"/>
        <v>100</v>
      </c>
      <c r="AT138" s="28">
        <f t="shared" si="146"/>
        <v>134</v>
      </c>
      <c r="AU138" s="28">
        <f t="shared" si="147"/>
        <v>181.8</v>
      </c>
      <c r="AV138" s="28">
        <f t="shared" si="172"/>
        <v>315.8</v>
      </c>
      <c r="AW138" s="24">
        <f t="shared" si="148"/>
        <v>8</v>
      </c>
      <c r="AX138" s="24">
        <f t="shared" si="149"/>
        <v>0</v>
      </c>
      <c r="AY138" s="24">
        <f t="shared" si="173"/>
        <v>8</v>
      </c>
      <c r="AZ138" s="156">
        <f t="shared" si="174"/>
        <v>52272</v>
      </c>
      <c r="BA138" s="35">
        <f t="shared" si="175"/>
        <v>0.2272695652173913</v>
      </c>
      <c r="BB138" s="35">
        <f t="shared" si="150"/>
        <v>32.27227826086957</v>
      </c>
      <c r="BC138" s="36">
        <f t="shared" si="151"/>
        <v>41.31760695652174</v>
      </c>
      <c r="BD138" s="36">
        <f t="shared" si="176"/>
        <v>73.58988521739131</v>
      </c>
      <c r="BE138" s="36" t="str">
        <f t="shared" si="177"/>
        <v>yes</v>
      </c>
      <c r="BF138" s="37">
        <f t="shared" si="178"/>
        <v>0.2272695652173913</v>
      </c>
      <c r="BG138" s="37">
        <f t="shared" si="152"/>
        <v>30.454121739130436</v>
      </c>
      <c r="BH138" s="36">
        <f t="shared" si="153"/>
        <v>41.31760695652174</v>
      </c>
      <c r="BI138" s="38">
        <f t="shared" si="179"/>
        <v>71.77172869565217</v>
      </c>
      <c r="BJ138" s="1" t="str">
        <f t="shared" si="180"/>
        <v>yes</v>
      </c>
      <c r="BK138" s="37">
        <f t="shared" si="181"/>
        <v>1.8181565217391338</v>
      </c>
      <c r="BL138" s="37">
        <f t="shared" si="182"/>
        <v>0</v>
      </c>
      <c r="BM138" s="7">
        <f t="shared" si="183"/>
        <v>1.8181565217391409</v>
      </c>
      <c r="BN138" s="7">
        <f t="shared" si="184"/>
        <v>0</v>
      </c>
    </row>
    <row r="139" spans="3:66" ht="18" customHeight="1">
      <c r="C139" s="29"/>
      <c r="D139" s="159" t="s">
        <v>184</v>
      </c>
      <c r="E139" s="158" t="s">
        <v>57</v>
      </c>
      <c r="F139" s="79">
        <f t="shared" si="154"/>
        <v>52272</v>
      </c>
      <c r="G139" s="80">
        <f t="shared" si="155"/>
        <v>40</v>
      </c>
      <c r="H139" s="149">
        <f t="shared" si="156"/>
        <v>4</v>
      </c>
      <c r="I139" s="150">
        <f>IF(AK139="","",IF($F139&gt;0,($F139/$AK139)*AG139,IF($G139&gt;0,(((43560/($G139/12))*$H139)/$AK139)*AG139,0)))</f>
        <v>0</v>
      </c>
      <c r="J139" s="83">
        <f>BI139</f>
        <v>0</v>
      </c>
      <c r="K139" s="84">
        <f>BD139</f>
        <v>73.58988521739131</v>
      </c>
      <c r="L139" s="151">
        <f>BG139</f>
      </c>
      <c r="M139" s="152">
        <f>BB139</f>
        <v>32.27227826086957</v>
      </c>
      <c r="N139" s="188" t="str">
        <f>IF(R139="New","New",(M139/L139)-1)</f>
        <v>New</v>
      </c>
      <c r="O139" s="153">
        <f>IF(AW139="","",BH139)</f>
      </c>
      <c r="P139" s="154">
        <f>IF(BC139="","",BC139)</f>
        <v>41.31760695652174</v>
      </c>
      <c r="Q139" s="176" t="str">
        <f>IF(R139="New","New",IF(AX139="","",(P139/O139)-1))</f>
        <v>New</v>
      </c>
      <c r="R139" s="100" t="str">
        <f>IF(J139="","New",IF(J139=0,"New",K139-J139))</f>
        <v>New</v>
      </c>
      <c r="S139" s="184">
        <f>IF(R139="New","",R139/J139)</f>
      </c>
      <c r="U139" s="207" t="s">
        <v>112</v>
      </c>
      <c r="V139" s="4" t="s">
        <v>12</v>
      </c>
      <c r="X139" s="155"/>
      <c r="Y139" s="155"/>
      <c r="Z139" s="155">
        <v>142</v>
      </c>
      <c r="AA139" s="32"/>
      <c r="AB139" s="155"/>
      <c r="AC139" s="155"/>
      <c r="AD139" s="155"/>
      <c r="AE139" s="155">
        <v>141.8</v>
      </c>
      <c r="AF139" s="155">
        <v>40</v>
      </c>
      <c r="AG139" s="32">
        <f t="shared" si="143"/>
        <v>0</v>
      </c>
      <c r="AH139" s="32">
        <f t="shared" si="144"/>
        <v>0</v>
      </c>
      <c r="AI139" s="32">
        <f t="shared" si="145"/>
        <v>323.8</v>
      </c>
      <c r="AJ139" s="33"/>
      <c r="AK139" s="26">
        <v>230000</v>
      </c>
      <c r="AL139" s="33"/>
      <c r="AM139" s="26">
        <v>230000</v>
      </c>
      <c r="AN139" s="33"/>
      <c r="AO139" s="26">
        <v>230000</v>
      </c>
      <c r="AP139" s="67">
        <f>AK139</f>
        <v>230000</v>
      </c>
      <c r="AQ139" s="34">
        <f>IF(AK139&gt;0,AM139/AK139*100,"Not Avail.")</f>
        <v>100</v>
      </c>
      <c r="AR139" s="67">
        <f>AM139</f>
        <v>230000</v>
      </c>
      <c r="AS139" s="34">
        <f>IF(AM139&gt;0,AO139/AM139*100,"Not Avail.")</f>
        <v>100</v>
      </c>
      <c r="AT139" s="28">
        <f t="shared" si="146"/>
      </c>
      <c r="AU139" s="28">
        <f t="shared" si="147"/>
      </c>
      <c r="AV139" s="28">
        <f>IF(AT139="","",SUM(AT139:AU139))</f>
      </c>
      <c r="AW139" s="24">
        <f t="shared" si="148"/>
      </c>
      <c r="AX139" s="24">
        <f t="shared" si="149"/>
      </c>
      <c r="AY139" s="24" t="str">
        <f>IF(AH139&gt;0,AI139-AV139,"New")</f>
        <v>New</v>
      </c>
      <c r="AZ139" s="156">
        <f>F139</f>
        <v>52272</v>
      </c>
      <c r="BA139" s="35">
        <f t="shared" si="175"/>
        <v>0.2272695652173913</v>
      </c>
      <c r="BB139" s="35">
        <f t="shared" si="150"/>
        <v>32.27227826086957</v>
      </c>
      <c r="BC139" s="36">
        <f t="shared" si="151"/>
        <v>41.31760695652174</v>
      </c>
      <c r="BD139" s="36">
        <f>BB139+BC139</f>
        <v>73.58988521739131</v>
      </c>
      <c r="BE139" s="36" t="str">
        <f>IF(BD139=K139,"yes","no")</f>
        <v>yes</v>
      </c>
      <c r="BF139" s="37">
        <f>IF(AM139="","",IF($F139&gt;0,($F139/AM139),IF($G139&gt;0,((((43560/($G139/12))*$H139)/$AM139)),0)))</f>
        <v>0.2272695652173913</v>
      </c>
      <c r="BG139" s="37">
        <f t="shared" si="152"/>
      </c>
      <c r="BH139" s="36">
        <f t="shared" si="153"/>
        <v>0</v>
      </c>
      <c r="BI139" s="38">
        <f>SUM(BG139:BH139)</f>
        <v>0</v>
      </c>
      <c r="BJ139" s="1" t="str">
        <f>IF(J139=BI139,"yes","no")</f>
        <v>yes</v>
      </c>
      <c r="BK139" s="37">
        <f>IF(BG139="","",IF(BG139=0,"",BB139-BG139))</f>
      </c>
      <c r="BL139" s="37">
        <f>IF(BH139="","",IF(BH139=0,"",BC139-BH139))</f>
      </c>
      <c r="BM139" s="7">
        <f>IF(BK139="","",BD139-BI139)</f>
      </c>
      <c r="BN139" s="7" t="e">
        <f>R139-BM139</f>
        <v>#VALUE!</v>
      </c>
    </row>
    <row r="140" spans="4:66" ht="18" customHeight="1">
      <c r="D140" s="157" t="s">
        <v>90</v>
      </c>
      <c r="E140" s="158" t="s">
        <v>106</v>
      </c>
      <c r="F140" s="79">
        <f t="shared" si="154"/>
        <v>52272</v>
      </c>
      <c r="G140" s="80">
        <f t="shared" si="155"/>
        <v>40</v>
      </c>
      <c r="H140" s="149">
        <f t="shared" si="156"/>
        <v>4</v>
      </c>
      <c r="I140" s="150">
        <f t="shared" si="157"/>
      </c>
      <c r="J140" s="83">
        <f t="shared" si="158"/>
        <v>73.15704</v>
      </c>
      <c r="K140" s="84">
        <f t="shared" si="159"/>
        <v>74.34504000000001</v>
      </c>
      <c r="L140" s="151">
        <f t="shared" si="160"/>
        <v>32.3136</v>
      </c>
      <c r="M140" s="152">
        <f t="shared" si="161"/>
        <v>33.5016</v>
      </c>
      <c r="N140" s="188">
        <f t="shared" si="162"/>
        <v>0.03676470588235303</v>
      </c>
      <c r="O140" s="153">
        <f t="shared" si="163"/>
        <v>40.84344</v>
      </c>
      <c r="P140" s="154">
        <f t="shared" si="164"/>
        <v>40.84344</v>
      </c>
      <c r="Q140" s="176">
        <f t="shared" si="165"/>
        <v>0</v>
      </c>
      <c r="R140" s="100">
        <f t="shared" si="166"/>
        <v>1.1880000000000166</v>
      </c>
      <c r="S140" s="184">
        <f t="shared" si="167"/>
        <v>0.016239038648912213</v>
      </c>
      <c r="U140" s="208" t="s">
        <v>108</v>
      </c>
      <c r="V140" s="4" t="s">
        <v>12</v>
      </c>
      <c r="X140" s="155"/>
      <c r="Y140" s="155">
        <v>136</v>
      </c>
      <c r="Z140" s="155">
        <v>141</v>
      </c>
      <c r="AA140" s="155"/>
      <c r="AB140" s="155"/>
      <c r="AC140" s="155">
        <v>171.9</v>
      </c>
      <c r="AD140" s="155"/>
      <c r="AE140" s="155">
        <v>171.9</v>
      </c>
      <c r="AF140" s="155"/>
      <c r="AG140" s="32">
        <f t="shared" si="143"/>
        <v>0</v>
      </c>
      <c r="AH140" s="32">
        <f t="shared" si="144"/>
        <v>307.9</v>
      </c>
      <c r="AI140" s="32">
        <f t="shared" si="145"/>
        <v>312.9</v>
      </c>
      <c r="AJ140" s="33"/>
      <c r="AK140" s="33"/>
      <c r="AL140" s="33"/>
      <c r="AM140" s="33">
        <v>220000</v>
      </c>
      <c r="AN140" s="33"/>
      <c r="AO140" s="33">
        <v>220000</v>
      </c>
      <c r="AP140" s="67">
        <f t="shared" si="168"/>
        <v>0</v>
      </c>
      <c r="AQ140" s="34" t="str">
        <f t="shared" si="169"/>
        <v>Not Avail.</v>
      </c>
      <c r="AR140" s="67">
        <f t="shared" si="170"/>
        <v>220000</v>
      </c>
      <c r="AS140" s="34">
        <f t="shared" si="171"/>
        <v>100</v>
      </c>
      <c r="AT140" s="28">
        <f t="shared" si="146"/>
        <v>136</v>
      </c>
      <c r="AU140" s="28">
        <f t="shared" si="147"/>
        <v>171.9</v>
      </c>
      <c r="AV140" s="28">
        <f t="shared" si="172"/>
        <v>307.9</v>
      </c>
      <c r="AW140" s="24">
        <f t="shared" si="148"/>
        <v>5</v>
      </c>
      <c r="AX140" s="24">
        <f t="shared" si="149"/>
        <v>0</v>
      </c>
      <c r="AY140" s="24">
        <f t="shared" si="173"/>
        <v>5</v>
      </c>
      <c r="AZ140" s="156">
        <f t="shared" si="174"/>
        <v>52272</v>
      </c>
      <c r="BA140" s="35">
        <f t="shared" si="175"/>
        <v>0.2376</v>
      </c>
      <c r="BB140" s="35">
        <f t="shared" si="150"/>
        <v>33.5016</v>
      </c>
      <c r="BC140" s="36">
        <f t="shared" si="151"/>
        <v>40.84344</v>
      </c>
      <c r="BD140" s="36">
        <f t="shared" si="176"/>
        <v>74.34504000000001</v>
      </c>
      <c r="BE140" s="36" t="str">
        <f t="shared" si="177"/>
        <v>yes</v>
      </c>
      <c r="BF140" s="37">
        <f t="shared" si="178"/>
        <v>0.2376</v>
      </c>
      <c r="BG140" s="37">
        <f t="shared" si="152"/>
        <v>32.3136</v>
      </c>
      <c r="BH140" s="36">
        <f t="shared" si="153"/>
        <v>40.84344</v>
      </c>
      <c r="BI140" s="38">
        <f t="shared" si="179"/>
        <v>73.15704</v>
      </c>
      <c r="BJ140" s="1" t="str">
        <f t="shared" si="180"/>
        <v>yes</v>
      </c>
      <c r="BK140" s="37">
        <f t="shared" si="181"/>
        <v>1.1880000000000024</v>
      </c>
      <c r="BL140" s="37">
        <f t="shared" si="182"/>
        <v>0</v>
      </c>
      <c r="BM140" s="7">
        <f t="shared" si="183"/>
        <v>1.1880000000000166</v>
      </c>
      <c r="BN140" s="7">
        <f t="shared" si="184"/>
        <v>0</v>
      </c>
    </row>
    <row r="141" spans="2:66" ht="18" customHeight="1">
      <c r="B141" s="4" t="s">
        <v>12</v>
      </c>
      <c r="C141" s="4" t="s">
        <v>95</v>
      </c>
      <c r="D141" s="157" t="s">
        <v>90</v>
      </c>
      <c r="E141" s="158" t="s">
        <v>235</v>
      </c>
      <c r="F141" s="79">
        <f t="shared" si="154"/>
        <v>52272</v>
      </c>
      <c r="G141" s="80">
        <f t="shared" si="155"/>
        <v>40</v>
      </c>
      <c r="H141" s="149">
        <f t="shared" si="156"/>
        <v>4</v>
      </c>
      <c r="I141" s="150">
        <f t="shared" si="157"/>
        <v>66.47634782608695</v>
      </c>
      <c r="J141" s="83">
        <f t="shared" si="158"/>
        <v>71.96904</v>
      </c>
      <c r="K141" s="84">
        <f t="shared" si="159"/>
        <v>73.15704</v>
      </c>
      <c r="L141" s="151">
        <f t="shared" si="160"/>
        <v>31.125600000000002</v>
      </c>
      <c r="M141" s="152">
        <f t="shared" si="161"/>
        <v>32.3136</v>
      </c>
      <c r="N141" s="188">
        <f t="shared" si="162"/>
        <v>0.03816793893129766</v>
      </c>
      <c r="O141" s="153">
        <f t="shared" si="163"/>
        <v>40.84344</v>
      </c>
      <c r="P141" s="154">
        <f t="shared" si="164"/>
        <v>40.84344</v>
      </c>
      <c r="Q141" s="176">
        <f t="shared" si="165"/>
        <v>0</v>
      </c>
      <c r="R141" s="100">
        <f t="shared" si="166"/>
        <v>1.1879999999999882</v>
      </c>
      <c r="S141" s="184">
        <f t="shared" si="167"/>
        <v>0.016507098052162265</v>
      </c>
      <c r="U141" s="208" t="s">
        <v>95</v>
      </c>
      <c r="V141" s="4" t="s">
        <v>12</v>
      </c>
      <c r="X141" s="155">
        <v>128</v>
      </c>
      <c r="Y141" s="155">
        <v>131</v>
      </c>
      <c r="Z141" s="155">
        <v>136</v>
      </c>
      <c r="AA141" s="155">
        <v>164.5</v>
      </c>
      <c r="AB141" s="155"/>
      <c r="AC141" s="155">
        <v>171.9</v>
      </c>
      <c r="AD141" s="155"/>
      <c r="AE141" s="155">
        <v>171.9</v>
      </c>
      <c r="AF141" s="155"/>
      <c r="AG141" s="32">
        <f t="shared" si="143"/>
        <v>292.5</v>
      </c>
      <c r="AH141" s="32">
        <f t="shared" si="144"/>
        <v>302.9</v>
      </c>
      <c r="AI141" s="32">
        <f t="shared" si="145"/>
        <v>307.9</v>
      </c>
      <c r="AJ141" s="33"/>
      <c r="AK141" s="33">
        <v>230000</v>
      </c>
      <c r="AL141" s="33"/>
      <c r="AM141" s="33">
        <v>220000</v>
      </c>
      <c r="AN141" s="33"/>
      <c r="AO141" s="33">
        <v>220000</v>
      </c>
      <c r="AP141" s="67">
        <f t="shared" si="168"/>
        <v>230000</v>
      </c>
      <c r="AQ141" s="34">
        <f t="shared" si="169"/>
        <v>95.65217391304348</v>
      </c>
      <c r="AR141" s="67">
        <f t="shared" si="170"/>
        <v>220000</v>
      </c>
      <c r="AS141" s="34">
        <f t="shared" si="171"/>
        <v>100</v>
      </c>
      <c r="AT141" s="28">
        <f t="shared" si="146"/>
        <v>131</v>
      </c>
      <c r="AU141" s="28">
        <f t="shared" si="147"/>
        <v>171.9</v>
      </c>
      <c r="AV141" s="28">
        <f t="shared" si="172"/>
        <v>302.9</v>
      </c>
      <c r="AW141" s="24">
        <f t="shared" si="148"/>
        <v>5</v>
      </c>
      <c r="AX141" s="24">
        <f t="shared" si="149"/>
        <v>0</v>
      </c>
      <c r="AY141" s="24">
        <f t="shared" si="173"/>
        <v>5</v>
      </c>
      <c r="AZ141" s="156">
        <f t="shared" si="174"/>
        <v>52272</v>
      </c>
      <c r="BA141" s="35">
        <f t="shared" si="175"/>
        <v>0.2376</v>
      </c>
      <c r="BB141" s="35">
        <f t="shared" si="150"/>
        <v>32.3136</v>
      </c>
      <c r="BC141" s="36">
        <f t="shared" si="151"/>
        <v>40.84344</v>
      </c>
      <c r="BD141" s="36">
        <f t="shared" si="176"/>
        <v>73.15704</v>
      </c>
      <c r="BE141" s="36" t="str">
        <f t="shared" si="177"/>
        <v>yes</v>
      </c>
      <c r="BF141" s="37">
        <f t="shared" si="178"/>
        <v>0.2376</v>
      </c>
      <c r="BG141" s="37">
        <f t="shared" si="152"/>
        <v>31.125600000000002</v>
      </c>
      <c r="BH141" s="36">
        <f t="shared" si="153"/>
        <v>40.84344</v>
      </c>
      <c r="BI141" s="38">
        <f t="shared" si="179"/>
        <v>71.96904</v>
      </c>
      <c r="BJ141" s="1" t="str">
        <f t="shared" si="180"/>
        <v>yes</v>
      </c>
      <c r="BK141" s="37">
        <f t="shared" si="181"/>
        <v>1.1879999999999988</v>
      </c>
      <c r="BL141" s="37">
        <f t="shared" si="182"/>
        <v>0</v>
      </c>
      <c r="BM141" s="7">
        <f t="shared" si="183"/>
        <v>1.1879999999999882</v>
      </c>
      <c r="BN141" s="7">
        <f t="shared" si="184"/>
        <v>0</v>
      </c>
    </row>
    <row r="142" spans="2:66" ht="18" customHeight="1">
      <c r="B142" s="4" t="s">
        <v>12</v>
      </c>
      <c r="C142" s="4" t="s">
        <v>95</v>
      </c>
      <c r="D142" s="157" t="s">
        <v>90</v>
      </c>
      <c r="E142" s="158" t="s">
        <v>199</v>
      </c>
      <c r="F142" s="79">
        <f t="shared" si="154"/>
        <v>52272</v>
      </c>
      <c r="G142" s="80">
        <f t="shared" si="155"/>
        <v>40</v>
      </c>
      <c r="H142" s="149">
        <f t="shared" si="156"/>
        <v>4</v>
      </c>
      <c r="I142" s="150">
        <f t="shared" si="157"/>
        <v>66.47634782608695</v>
      </c>
      <c r="J142" s="83">
        <f t="shared" si="158"/>
        <v>71.96904</v>
      </c>
      <c r="K142" s="84">
        <f t="shared" si="159"/>
        <v>73.15704</v>
      </c>
      <c r="L142" s="151">
        <f t="shared" si="160"/>
        <v>31.125600000000002</v>
      </c>
      <c r="M142" s="152">
        <f t="shared" si="161"/>
        <v>32.3136</v>
      </c>
      <c r="N142" s="188">
        <f t="shared" si="162"/>
        <v>0.03816793893129766</v>
      </c>
      <c r="O142" s="153">
        <f t="shared" si="163"/>
        <v>40.84344</v>
      </c>
      <c r="P142" s="154">
        <f t="shared" si="164"/>
        <v>40.84344</v>
      </c>
      <c r="Q142" s="176">
        <f t="shared" si="165"/>
        <v>0</v>
      </c>
      <c r="R142" s="100">
        <f t="shared" si="166"/>
        <v>1.1879999999999882</v>
      </c>
      <c r="S142" s="184">
        <f t="shared" si="167"/>
        <v>0.016507098052162265</v>
      </c>
      <c r="U142" s="208" t="s">
        <v>95</v>
      </c>
      <c r="V142" s="4" t="s">
        <v>12</v>
      </c>
      <c r="X142" s="155">
        <v>128</v>
      </c>
      <c r="Y142" s="155">
        <v>131</v>
      </c>
      <c r="Z142" s="155">
        <v>136</v>
      </c>
      <c r="AA142" s="155">
        <v>164.5</v>
      </c>
      <c r="AB142" s="155"/>
      <c r="AC142" s="155">
        <v>171.9</v>
      </c>
      <c r="AD142" s="155"/>
      <c r="AE142" s="155">
        <v>171.9</v>
      </c>
      <c r="AF142" s="155"/>
      <c r="AG142" s="32">
        <f t="shared" si="143"/>
        <v>292.5</v>
      </c>
      <c r="AH142" s="32">
        <f t="shared" si="144"/>
        <v>302.9</v>
      </c>
      <c r="AI142" s="32">
        <f t="shared" si="145"/>
        <v>307.9</v>
      </c>
      <c r="AJ142" s="33"/>
      <c r="AK142" s="33">
        <v>230000</v>
      </c>
      <c r="AL142" s="33"/>
      <c r="AM142" s="33">
        <v>220000</v>
      </c>
      <c r="AN142" s="33"/>
      <c r="AO142" s="33">
        <v>220000</v>
      </c>
      <c r="AP142" s="67">
        <f t="shared" si="168"/>
        <v>230000</v>
      </c>
      <c r="AQ142" s="34">
        <f t="shared" si="169"/>
        <v>95.65217391304348</v>
      </c>
      <c r="AR142" s="67">
        <f t="shared" si="170"/>
        <v>220000</v>
      </c>
      <c r="AS142" s="34">
        <f t="shared" si="171"/>
        <v>100</v>
      </c>
      <c r="AT142" s="28">
        <f t="shared" si="146"/>
        <v>131</v>
      </c>
      <c r="AU142" s="28">
        <f t="shared" si="147"/>
        <v>171.9</v>
      </c>
      <c r="AV142" s="28">
        <f t="shared" si="172"/>
        <v>302.9</v>
      </c>
      <c r="AW142" s="24">
        <f t="shared" si="148"/>
        <v>5</v>
      </c>
      <c r="AX142" s="24">
        <f t="shared" si="149"/>
        <v>0</v>
      </c>
      <c r="AY142" s="24">
        <f t="shared" si="173"/>
        <v>5</v>
      </c>
      <c r="AZ142" s="156">
        <f t="shared" si="174"/>
        <v>52272</v>
      </c>
      <c r="BA142" s="35">
        <f t="shared" si="175"/>
        <v>0.2376</v>
      </c>
      <c r="BB142" s="35">
        <f t="shared" si="150"/>
        <v>32.3136</v>
      </c>
      <c r="BC142" s="36">
        <f t="shared" si="151"/>
        <v>40.84344</v>
      </c>
      <c r="BD142" s="36">
        <f t="shared" si="176"/>
        <v>73.15704</v>
      </c>
      <c r="BE142" s="36" t="str">
        <f t="shared" si="177"/>
        <v>yes</v>
      </c>
      <c r="BF142" s="37">
        <f t="shared" si="178"/>
        <v>0.2376</v>
      </c>
      <c r="BG142" s="37">
        <f t="shared" si="152"/>
        <v>31.125600000000002</v>
      </c>
      <c r="BH142" s="36">
        <f t="shared" si="153"/>
        <v>40.84344</v>
      </c>
      <c r="BI142" s="38">
        <f t="shared" si="179"/>
        <v>71.96904</v>
      </c>
      <c r="BJ142" s="1" t="str">
        <f t="shared" si="180"/>
        <v>yes</v>
      </c>
      <c r="BK142" s="37">
        <f t="shared" si="181"/>
        <v>1.1879999999999988</v>
      </c>
      <c r="BL142" s="37">
        <f t="shared" si="182"/>
        <v>0</v>
      </c>
      <c r="BM142" s="7">
        <f t="shared" si="183"/>
        <v>1.1879999999999882</v>
      </c>
      <c r="BN142" s="7">
        <f t="shared" si="184"/>
        <v>0</v>
      </c>
    </row>
    <row r="143" spans="2:66" ht="18" customHeight="1">
      <c r="B143" s="4" t="s">
        <v>12</v>
      </c>
      <c r="C143" s="4" t="s">
        <v>95</v>
      </c>
      <c r="D143" s="157" t="s">
        <v>90</v>
      </c>
      <c r="E143" s="158" t="s">
        <v>85</v>
      </c>
      <c r="F143" s="79">
        <f t="shared" si="154"/>
        <v>52272</v>
      </c>
      <c r="G143" s="80">
        <f t="shared" si="155"/>
        <v>40</v>
      </c>
      <c r="H143" s="149">
        <f t="shared" si="156"/>
        <v>4</v>
      </c>
      <c r="I143" s="150">
        <f t="shared" si="157"/>
        <v>66.47634782608695</v>
      </c>
      <c r="J143" s="83">
        <f t="shared" si="158"/>
        <v>71.96904</v>
      </c>
      <c r="K143" s="84">
        <f t="shared" si="159"/>
        <v>68.16744</v>
      </c>
      <c r="L143" s="151">
        <f t="shared" si="160"/>
        <v>31.125600000000002</v>
      </c>
      <c r="M143" s="152">
        <f t="shared" si="161"/>
        <v>27.324</v>
      </c>
      <c r="N143" s="188">
        <f t="shared" si="162"/>
        <v>-0.12213740458015265</v>
      </c>
      <c r="O143" s="153">
        <f t="shared" si="163"/>
        <v>40.84344</v>
      </c>
      <c r="P143" s="154">
        <f t="shared" si="164"/>
        <v>40.84344</v>
      </c>
      <c r="Q143" s="176">
        <f t="shared" si="165"/>
        <v>0</v>
      </c>
      <c r="R143" s="100">
        <f t="shared" si="166"/>
        <v>-3.8016000000000076</v>
      </c>
      <c r="S143" s="184">
        <f t="shared" si="167"/>
        <v>-0.052822713766919875</v>
      </c>
      <c r="U143" s="208" t="s">
        <v>95</v>
      </c>
      <c r="V143" s="4" t="s">
        <v>12</v>
      </c>
      <c r="X143" s="155">
        <v>128</v>
      </c>
      <c r="Y143" s="155">
        <v>131</v>
      </c>
      <c r="Z143" s="155">
        <v>115</v>
      </c>
      <c r="AA143" s="155">
        <v>164.5</v>
      </c>
      <c r="AB143" s="155"/>
      <c r="AC143" s="155">
        <v>171.9</v>
      </c>
      <c r="AD143" s="155"/>
      <c r="AE143" s="155">
        <v>171.9</v>
      </c>
      <c r="AF143" s="155"/>
      <c r="AG143" s="32">
        <f t="shared" si="143"/>
        <v>292.5</v>
      </c>
      <c r="AH143" s="32">
        <f t="shared" si="144"/>
        <v>302.9</v>
      </c>
      <c r="AI143" s="32">
        <f t="shared" si="145"/>
        <v>286.9</v>
      </c>
      <c r="AJ143" s="33"/>
      <c r="AK143" s="33">
        <v>230000</v>
      </c>
      <c r="AL143" s="33"/>
      <c r="AM143" s="33">
        <v>220000</v>
      </c>
      <c r="AN143" s="33"/>
      <c r="AO143" s="33">
        <v>220000</v>
      </c>
      <c r="AP143" s="67">
        <f t="shared" si="168"/>
        <v>230000</v>
      </c>
      <c r="AQ143" s="34">
        <f t="shared" si="169"/>
        <v>95.65217391304348</v>
      </c>
      <c r="AR143" s="67">
        <f t="shared" si="170"/>
        <v>220000</v>
      </c>
      <c r="AS143" s="34">
        <f t="shared" si="171"/>
        <v>100</v>
      </c>
      <c r="AT143" s="28">
        <f t="shared" si="146"/>
        <v>131</v>
      </c>
      <c r="AU143" s="28">
        <f t="shared" si="147"/>
        <v>171.9</v>
      </c>
      <c r="AV143" s="28">
        <f t="shared" si="172"/>
        <v>302.9</v>
      </c>
      <c r="AW143" s="24">
        <f t="shared" si="148"/>
        <v>-16</v>
      </c>
      <c r="AX143" s="24">
        <f t="shared" si="149"/>
        <v>0</v>
      </c>
      <c r="AY143" s="24">
        <f t="shared" si="173"/>
        <v>-16</v>
      </c>
      <c r="AZ143" s="156">
        <f t="shared" si="174"/>
        <v>52272</v>
      </c>
      <c r="BA143" s="35">
        <f t="shared" si="175"/>
        <v>0.2376</v>
      </c>
      <c r="BB143" s="35">
        <f t="shared" si="150"/>
        <v>27.324</v>
      </c>
      <c r="BC143" s="36">
        <f t="shared" si="151"/>
        <v>40.84344</v>
      </c>
      <c r="BD143" s="36">
        <f t="shared" si="176"/>
        <v>68.16744</v>
      </c>
      <c r="BE143" s="36" t="str">
        <f t="shared" si="177"/>
        <v>yes</v>
      </c>
      <c r="BF143" s="37">
        <f t="shared" si="178"/>
        <v>0.2376</v>
      </c>
      <c r="BG143" s="37">
        <f t="shared" si="152"/>
        <v>31.125600000000002</v>
      </c>
      <c r="BH143" s="36">
        <f t="shared" si="153"/>
        <v>40.84344</v>
      </c>
      <c r="BI143" s="38">
        <f t="shared" si="179"/>
        <v>71.96904</v>
      </c>
      <c r="BJ143" s="1" t="str">
        <f t="shared" si="180"/>
        <v>yes</v>
      </c>
      <c r="BK143" s="37">
        <f t="shared" si="181"/>
        <v>-3.8016000000000005</v>
      </c>
      <c r="BL143" s="37">
        <f t="shared" si="182"/>
        <v>0</v>
      </c>
      <c r="BM143" s="7">
        <f t="shared" si="183"/>
        <v>-3.8016000000000076</v>
      </c>
      <c r="BN143" s="7">
        <f t="shared" si="184"/>
        <v>0</v>
      </c>
    </row>
    <row r="144" spans="3:66" ht="18" customHeight="1">
      <c r="C144" s="29"/>
      <c r="D144" s="157" t="s">
        <v>90</v>
      </c>
      <c r="E144" s="158" t="s">
        <v>107</v>
      </c>
      <c r="F144" s="79">
        <f t="shared" si="154"/>
        <v>52272</v>
      </c>
      <c r="G144" s="80">
        <f t="shared" si="155"/>
        <v>40</v>
      </c>
      <c r="H144" s="149">
        <f t="shared" si="156"/>
        <v>4</v>
      </c>
      <c r="I144" s="150">
        <f t="shared" si="157"/>
      </c>
      <c r="J144" s="83">
        <f t="shared" si="158"/>
        <v>73.15704</v>
      </c>
      <c r="K144" s="84">
        <f t="shared" si="159"/>
        <v>74.34504000000001</v>
      </c>
      <c r="L144" s="151">
        <f t="shared" si="160"/>
        <v>32.3136</v>
      </c>
      <c r="M144" s="152">
        <f t="shared" si="161"/>
        <v>33.5016</v>
      </c>
      <c r="N144" s="188">
        <f t="shared" si="162"/>
        <v>0.03676470588235303</v>
      </c>
      <c r="O144" s="153">
        <f t="shared" si="163"/>
        <v>40.84344</v>
      </c>
      <c r="P144" s="154">
        <f t="shared" si="164"/>
        <v>40.84344</v>
      </c>
      <c r="Q144" s="176">
        <f t="shared" si="165"/>
        <v>0</v>
      </c>
      <c r="R144" s="100">
        <f t="shared" si="166"/>
        <v>1.1880000000000166</v>
      </c>
      <c r="S144" s="184">
        <f t="shared" si="167"/>
        <v>0.016239038648912213</v>
      </c>
      <c r="U144" s="207" t="s">
        <v>108</v>
      </c>
      <c r="V144" s="4" t="s">
        <v>12</v>
      </c>
      <c r="X144" s="39"/>
      <c r="Y144" s="39">
        <v>136</v>
      </c>
      <c r="Z144" s="39">
        <v>141</v>
      </c>
      <c r="AA144" s="39"/>
      <c r="AB144" s="39"/>
      <c r="AC144" s="155">
        <v>171.9</v>
      </c>
      <c r="AD144" s="39"/>
      <c r="AE144" s="155">
        <v>171.9</v>
      </c>
      <c r="AF144" s="39"/>
      <c r="AG144" s="32">
        <f t="shared" si="143"/>
        <v>0</v>
      </c>
      <c r="AH144" s="32">
        <f t="shared" si="144"/>
        <v>307.9</v>
      </c>
      <c r="AI144" s="32">
        <f t="shared" si="145"/>
        <v>312.9</v>
      </c>
      <c r="AJ144" s="27"/>
      <c r="AK144" s="33"/>
      <c r="AL144" s="27"/>
      <c r="AM144" s="33">
        <v>220000</v>
      </c>
      <c r="AN144" s="27"/>
      <c r="AO144" s="33">
        <v>220000</v>
      </c>
      <c r="AP144" s="67">
        <f t="shared" si="168"/>
        <v>0</v>
      </c>
      <c r="AQ144" s="34" t="str">
        <f t="shared" si="169"/>
        <v>Not Avail.</v>
      </c>
      <c r="AR144" s="67">
        <f t="shared" si="170"/>
        <v>220000</v>
      </c>
      <c r="AS144" s="34">
        <f t="shared" si="171"/>
        <v>100</v>
      </c>
      <c r="AT144" s="28">
        <f t="shared" si="146"/>
        <v>136</v>
      </c>
      <c r="AU144" s="28">
        <f t="shared" si="147"/>
        <v>171.9</v>
      </c>
      <c r="AV144" s="28">
        <f t="shared" si="172"/>
        <v>307.9</v>
      </c>
      <c r="AW144" s="24">
        <f t="shared" si="148"/>
        <v>5</v>
      </c>
      <c r="AX144" s="24">
        <f t="shared" si="149"/>
        <v>0</v>
      </c>
      <c r="AY144" s="24">
        <f t="shared" si="173"/>
        <v>5</v>
      </c>
      <c r="AZ144" s="156">
        <f t="shared" si="174"/>
        <v>52272</v>
      </c>
      <c r="BA144" s="35">
        <f t="shared" si="175"/>
        <v>0.2376</v>
      </c>
      <c r="BB144" s="35">
        <f t="shared" si="150"/>
        <v>33.5016</v>
      </c>
      <c r="BC144" s="36">
        <f t="shared" si="151"/>
        <v>40.84344</v>
      </c>
      <c r="BD144" s="36">
        <f t="shared" si="176"/>
        <v>74.34504000000001</v>
      </c>
      <c r="BE144" s="36" t="str">
        <f t="shared" si="177"/>
        <v>yes</v>
      </c>
      <c r="BF144" s="37">
        <f t="shared" si="178"/>
        <v>0.2376</v>
      </c>
      <c r="BG144" s="37">
        <f t="shared" si="152"/>
        <v>32.3136</v>
      </c>
      <c r="BH144" s="36">
        <f t="shared" si="153"/>
        <v>40.84344</v>
      </c>
      <c r="BI144" s="38">
        <f t="shared" si="179"/>
        <v>73.15704</v>
      </c>
      <c r="BJ144" s="1" t="str">
        <f t="shared" si="180"/>
        <v>yes</v>
      </c>
      <c r="BK144" s="37">
        <f t="shared" si="181"/>
        <v>1.1880000000000024</v>
      </c>
      <c r="BL144" s="37">
        <f t="shared" si="182"/>
        <v>0</v>
      </c>
      <c r="BM144" s="7">
        <f t="shared" si="183"/>
        <v>1.1880000000000166</v>
      </c>
      <c r="BN144" s="7">
        <f t="shared" si="184"/>
        <v>0</v>
      </c>
    </row>
    <row r="145" spans="2:66" ht="18" customHeight="1">
      <c r="B145" s="4" t="s">
        <v>12</v>
      </c>
      <c r="C145" s="4" t="s">
        <v>95</v>
      </c>
      <c r="D145" s="157" t="s">
        <v>90</v>
      </c>
      <c r="E145" s="158" t="s">
        <v>11</v>
      </c>
      <c r="F145" s="79">
        <f t="shared" si="154"/>
        <v>52272</v>
      </c>
      <c r="G145" s="80">
        <f t="shared" si="155"/>
        <v>40</v>
      </c>
      <c r="H145" s="149">
        <f t="shared" si="156"/>
        <v>4</v>
      </c>
      <c r="I145" s="150">
        <f t="shared" si="157"/>
        <v>66.47634782608695</v>
      </c>
      <c r="J145" s="83">
        <f t="shared" si="158"/>
        <v>71.96904</v>
      </c>
      <c r="K145" s="84">
        <f t="shared" si="159"/>
        <v>68.16744</v>
      </c>
      <c r="L145" s="151">
        <f t="shared" si="160"/>
        <v>31.125600000000002</v>
      </c>
      <c r="M145" s="152">
        <f t="shared" si="161"/>
        <v>27.324</v>
      </c>
      <c r="N145" s="188">
        <f t="shared" si="162"/>
        <v>-0.12213740458015265</v>
      </c>
      <c r="O145" s="153">
        <f t="shared" si="163"/>
        <v>40.84344</v>
      </c>
      <c r="P145" s="154">
        <f t="shared" si="164"/>
        <v>40.84344</v>
      </c>
      <c r="Q145" s="176">
        <f t="shared" si="165"/>
        <v>0</v>
      </c>
      <c r="R145" s="100">
        <f t="shared" si="166"/>
        <v>-3.8016000000000076</v>
      </c>
      <c r="S145" s="184">
        <f t="shared" si="167"/>
        <v>-0.052822713766919875</v>
      </c>
      <c r="U145" s="208" t="s">
        <v>95</v>
      </c>
      <c r="V145" s="4" t="s">
        <v>12</v>
      </c>
      <c r="X145" s="155">
        <v>128</v>
      </c>
      <c r="Y145" s="155">
        <v>131</v>
      </c>
      <c r="Z145" s="155">
        <v>115</v>
      </c>
      <c r="AA145" s="155">
        <v>164.5</v>
      </c>
      <c r="AB145" s="155"/>
      <c r="AC145" s="155">
        <v>171.9</v>
      </c>
      <c r="AD145" s="155"/>
      <c r="AE145" s="155">
        <v>171.9</v>
      </c>
      <c r="AF145" s="155"/>
      <c r="AG145" s="32">
        <f t="shared" si="143"/>
        <v>292.5</v>
      </c>
      <c r="AH145" s="32">
        <f t="shared" si="144"/>
        <v>302.9</v>
      </c>
      <c r="AI145" s="32">
        <f t="shared" si="145"/>
        <v>286.9</v>
      </c>
      <c r="AJ145" s="33"/>
      <c r="AK145" s="33">
        <v>230000</v>
      </c>
      <c r="AL145" s="33"/>
      <c r="AM145" s="33">
        <v>220000</v>
      </c>
      <c r="AN145" s="33"/>
      <c r="AO145" s="33">
        <v>220000</v>
      </c>
      <c r="AP145" s="67">
        <f t="shared" si="168"/>
        <v>230000</v>
      </c>
      <c r="AQ145" s="34">
        <f t="shared" si="169"/>
        <v>95.65217391304348</v>
      </c>
      <c r="AR145" s="67">
        <f t="shared" si="170"/>
        <v>220000</v>
      </c>
      <c r="AS145" s="34">
        <f t="shared" si="171"/>
        <v>100</v>
      </c>
      <c r="AT145" s="28">
        <f t="shared" si="146"/>
        <v>131</v>
      </c>
      <c r="AU145" s="28">
        <f t="shared" si="147"/>
        <v>171.9</v>
      </c>
      <c r="AV145" s="28">
        <f t="shared" si="172"/>
        <v>302.9</v>
      </c>
      <c r="AW145" s="24">
        <f t="shared" si="148"/>
        <v>-16</v>
      </c>
      <c r="AX145" s="24">
        <f t="shared" si="149"/>
        <v>0</v>
      </c>
      <c r="AY145" s="24">
        <f t="shared" si="173"/>
        <v>-16</v>
      </c>
      <c r="AZ145" s="156">
        <f t="shared" si="174"/>
        <v>52272</v>
      </c>
      <c r="BA145" s="35">
        <f t="shared" si="175"/>
        <v>0.2376</v>
      </c>
      <c r="BB145" s="35">
        <f t="shared" si="150"/>
        <v>27.324</v>
      </c>
      <c r="BC145" s="36">
        <f t="shared" si="151"/>
        <v>40.84344</v>
      </c>
      <c r="BD145" s="36">
        <f t="shared" si="176"/>
        <v>68.16744</v>
      </c>
      <c r="BE145" s="36" t="str">
        <f t="shared" si="177"/>
        <v>yes</v>
      </c>
      <c r="BF145" s="37">
        <f t="shared" si="178"/>
        <v>0.2376</v>
      </c>
      <c r="BG145" s="37">
        <f t="shared" si="152"/>
        <v>31.125600000000002</v>
      </c>
      <c r="BH145" s="36">
        <f t="shared" si="153"/>
        <v>40.84344</v>
      </c>
      <c r="BI145" s="38">
        <f t="shared" si="179"/>
        <v>71.96904</v>
      </c>
      <c r="BJ145" s="1" t="str">
        <f t="shared" si="180"/>
        <v>yes</v>
      </c>
      <c r="BK145" s="37">
        <f t="shared" si="181"/>
        <v>-3.8016000000000005</v>
      </c>
      <c r="BL145" s="37">
        <f t="shared" si="182"/>
        <v>0</v>
      </c>
      <c r="BM145" s="7">
        <f t="shared" si="183"/>
        <v>-3.8016000000000076</v>
      </c>
      <c r="BN145" s="7">
        <f t="shared" si="184"/>
        <v>0</v>
      </c>
    </row>
    <row r="146" spans="2:66" ht="18" customHeight="1">
      <c r="B146" s="4" t="s">
        <v>12</v>
      </c>
      <c r="C146" s="4" t="s">
        <v>95</v>
      </c>
      <c r="D146" s="157" t="s">
        <v>90</v>
      </c>
      <c r="E146" s="158" t="s">
        <v>200</v>
      </c>
      <c r="F146" s="79">
        <f t="shared" si="154"/>
        <v>52272</v>
      </c>
      <c r="G146" s="80">
        <f t="shared" si="155"/>
        <v>40</v>
      </c>
      <c r="H146" s="149">
        <f t="shared" si="156"/>
        <v>4</v>
      </c>
      <c r="I146" s="150">
        <f t="shared" si="157"/>
        <v>66.47634782608695</v>
      </c>
      <c r="J146" s="83">
        <f t="shared" si="158"/>
        <v>73.15704</v>
      </c>
      <c r="K146" s="84">
        <f t="shared" si="159"/>
        <v>74.34504000000001</v>
      </c>
      <c r="L146" s="151">
        <f t="shared" si="160"/>
        <v>32.3136</v>
      </c>
      <c r="M146" s="152">
        <f t="shared" si="161"/>
        <v>33.5016</v>
      </c>
      <c r="N146" s="188">
        <f t="shared" si="162"/>
        <v>0.03676470588235303</v>
      </c>
      <c r="O146" s="153">
        <f t="shared" si="163"/>
        <v>40.84344</v>
      </c>
      <c r="P146" s="154">
        <f t="shared" si="164"/>
        <v>40.84344</v>
      </c>
      <c r="Q146" s="176">
        <f t="shared" si="165"/>
        <v>0</v>
      </c>
      <c r="R146" s="100">
        <f t="shared" si="166"/>
        <v>1.1880000000000166</v>
      </c>
      <c r="S146" s="184">
        <f t="shared" si="167"/>
        <v>0.016239038648912213</v>
      </c>
      <c r="U146" s="208" t="s">
        <v>95</v>
      </c>
      <c r="V146" s="4" t="s">
        <v>12</v>
      </c>
      <c r="X146" s="155">
        <v>128</v>
      </c>
      <c r="Y146" s="155">
        <v>136</v>
      </c>
      <c r="Z146" s="155">
        <v>141</v>
      </c>
      <c r="AA146" s="155">
        <v>164.5</v>
      </c>
      <c r="AB146" s="155"/>
      <c r="AC146" s="155">
        <v>171.9</v>
      </c>
      <c r="AD146" s="155"/>
      <c r="AE146" s="155">
        <v>171.9</v>
      </c>
      <c r="AF146" s="155"/>
      <c r="AG146" s="32">
        <f t="shared" si="143"/>
        <v>292.5</v>
      </c>
      <c r="AH146" s="32">
        <f t="shared" si="144"/>
        <v>307.9</v>
      </c>
      <c r="AI146" s="32">
        <f t="shared" si="145"/>
        <v>312.9</v>
      </c>
      <c r="AJ146" s="33"/>
      <c r="AK146" s="33">
        <v>230000</v>
      </c>
      <c r="AL146" s="33"/>
      <c r="AM146" s="33">
        <v>220000</v>
      </c>
      <c r="AN146" s="33"/>
      <c r="AO146" s="33">
        <v>220000</v>
      </c>
      <c r="AP146" s="67">
        <f t="shared" si="168"/>
        <v>230000</v>
      </c>
      <c r="AQ146" s="34">
        <f t="shared" si="169"/>
        <v>95.65217391304348</v>
      </c>
      <c r="AR146" s="67">
        <f t="shared" si="170"/>
        <v>220000</v>
      </c>
      <c r="AS146" s="34">
        <f t="shared" si="171"/>
        <v>100</v>
      </c>
      <c r="AT146" s="28">
        <f t="shared" si="146"/>
        <v>136</v>
      </c>
      <c r="AU146" s="28">
        <f t="shared" si="147"/>
        <v>171.9</v>
      </c>
      <c r="AV146" s="28">
        <f t="shared" si="172"/>
        <v>307.9</v>
      </c>
      <c r="AW146" s="24">
        <f t="shared" si="148"/>
        <v>5</v>
      </c>
      <c r="AX146" s="24">
        <f t="shared" si="149"/>
        <v>0</v>
      </c>
      <c r="AY146" s="24">
        <f t="shared" si="173"/>
        <v>5</v>
      </c>
      <c r="AZ146" s="156">
        <f t="shared" si="174"/>
        <v>52272</v>
      </c>
      <c r="BA146" s="35">
        <f t="shared" si="175"/>
        <v>0.2376</v>
      </c>
      <c r="BB146" s="35">
        <f t="shared" si="150"/>
        <v>33.5016</v>
      </c>
      <c r="BC146" s="36">
        <f t="shared" si="151"/>
        <v>40.84344</v>
      </c>
      <c r="BD146" s="36">
        <f t="shared" si="176"/>
        <v>74.34504000000001</v>
      </c>
      <c r="BE146" s="36" t="str">
        <f t="shared" si="177"/>
        <v>yes</v>
      </c>
      <c r="BF146" s="37">
        <f t="shared" si="178"/>
        <v>0.2376</v>
      </c>
      <c r="BG146" s="37">
        <f t="shared" si="152"/>
        <v>32.3136</v>
      </c>
      <c r="BH146" s="36">
        <f t="shared" si="153"/>
        <v>40.84344</v>
      </c>
      <c r="BI146" s="38">
        <f t="shared" si="179"/>
        <v>73.15704</v>
      </c>
      <c r="BJ146" s="1" t="str">
        <f t="shared" si="180"/>
        <v>yes</v>
      </c>
      <c r="BK146" s="37">
        <f t="shared" si="181"/>
        <v>1.1880000000000024</v>
      </c>
      <c r="BL146" s="37">
        <f t="shared" si="182"/>
        <v>0</v>
      </c>
      <c r="BM146" s="7">
        <f t="shared" si="183"/>
        <v>1.1880000000000166</v>
      </c>
      <c r="BN146" s="7">
        <f t="shared" si="184"/>
        <v>0</v>
      </c>
    </row>
    <row r="147" spans="3:65" s="4" customFormat="1" ht="18" customHeight="1">
      <c r="C147" s="41"/>
      <c r="D147" s="41"/>
      <c r="E147" s="41"/>
      <c r="F147" s="75"/>
      <c r="G147" s="41"/>
      <c r="H147" s="41"/>
      <c r="I147" s="42"/>
      <c r="J147" s="13"/>
      <c r="K147" s="13"/>
      <c r="L147" s="44"/>
      <c r="M147" s="44"/>
      <c r="N147" s="179"/>
      <c r="O147" s="45"/>
      <c r="P147" s="46"/>
      <c r="Q147" s="179"/>
      <c r="R147" s="43"/>
      <c r="S147" s="179"/>
      <c r="T147" s="3"/>
      <c r="U147" s="41"/>
      <c r="W147" s="3"/>
      <c r="X147" s="40"/>
      <c r="Y147" s="40"/>
      <c r="Z147" s="40"/>
      <c r="AA147" s="40"/>
      <c r="AB147" s="40"/>
      <c r="AC147" s="40"/>
      <c r="AD147" s="40"/>
      <c r="AE147" s="40"/>
      <c r="AF147" s="40"/>
      <c r="AG147" s="47"/>
      <c r="AH147" s="47"/>
      <c r="AI147" s="47"/>
      <c r="AJ147" s="12"/>
      <c r="AK147" s="12"/>
      <c r="AL147" s="12"/>
      <c r="AM147" s="12"/>
      <c r="AN147" s="12"/>
      <c r="AO147" s="12"/>
      <c r="AP147" s="65"/>
      <c r="AQ147" s="12"/>
      <c r="AR147" s="65"/>
      <c r="AS147" s="12"/>
      <c r="AT147" s="13"/>
      <c r="AU147" s="13"/>
      <c r="AV147" s="13"/>
      <c r="AW147" s="13"/>
      <c r="AX147" s="13"/>
      <c r="AY147" s="3"/>
      <c r="AZ147" s="3"/>
      <c r="BA147" s="12"/>
      <c r="BB147" s="12"/>
      <c r="BC147" s="12"/>
      <c r="BD147" s="12"/>
      <c r="BE147" s="12"/>
      <c r="BH147" s="12"/>
      <c r="BM147" s="14"/>
    </row>
    <row r="148" spans="4:65" s="4" customFormat="1" ht="18" customHeight="1">
      <c r="D148" s="4" t="s">
        <v>9</v>
      </c>
      <c r="F148" s="76"/>
      <c r="G148" s="48"/>
      <c r="H148" s="49"/>
      <c r="I148" s="42"/>
      <c r="J148" s="13"/>
      <c r="K148" s="13"/>
      <c r="L148" s="44"/>
      <c r="M148" s="44"/>
      <c r="N148" s="179"/>
      <c r="O148" s="45"/>
      <c r="P148" s="46"/>
      <c r="Q148" s="178"/>
      <c r="R148" s="43"/>
      <c r="S148" s="179"/>
      <c r="T148" s="3"/>
      <c r="W148" s="3"/>
      <c r="X148" s="12"/>
      <c r="Y148" s="12"/>
      <c r="Z148" s="12"/>
      <c r="AA148" s="12"/>
      <c r="AB148" s="12"/>
      <c r="AC148" s="12"/>
      <c r="AD148" s="12"/>
      <c r="AE148" s="12"/>
      <c r="AF148" s="12"/>
      <c r="AG148" s="13"/>
      <c r="AH148" s="13"/>
      <c r="AI148" s="13"/>
      <c r="AJ148" s="12"/>
      <c r="AK148" s="12"/>
      <c r="AL148" s="12"/>
      <c r="AM148" s="12"/>
      <c r="AN148" s="12"/>
      <c r="AO148" s="12"/>
      <c r="AP148" s="65"/>
      <c r="AQ148" s="12"/>
      <c r="AR148" s="65"/>
      <c r="AS148" s="12"/>
      <c r="AT148" s="13"/>
      <c r="AU148" s="13"/>
      <c r="AV148" s="13"/>
      <c r="AW148" s="13"/>
      <c r="AX148" s="13"/>
      <c r="AY148" s="3"/>
      <c r="AZ148" s="3"/>
      <c r="BA148" s="12"/>
      <c r="BB148" s="12"/>
      <c r="BC148" s="12"/>
      <c r="BD148" s="12"/>
      <c r="BE148" s="12"/>
      <c r="BH148" s="12"/>
      <c r="BM148" s="14"/>
    </row>
    <row r="149" spans="4:65" s="4" customFormat="1" ht="18" customHeight="1">
      <c r="D149" s="4" t="s">
        <v>168</v>
      </c>
      <c r="F149" s="76"/>
      <c r="G149" s="48"/>
      <c r="H149" s="49"/>
      <c r="I149" s="42"/>
      <c r="J149" s="13"/>
      <c r="K149" s="13"/>
      <c r="L149" s="44"/>
      <c r="M149" s="44"/>
      <c r="N149" s="179"/>
      <c r="O149" s="45"/>
      <c r="P149" s="46"/>
      <c r="Q149" s="179"/>
      <c r="R149" s="43"/>
      <c r="S149" s="179"/>
      <c r="T149" s="3"/>
      <c r="W149" s="3"/>
      <c r="X149" s="12"/>
      <c r="Y149" s="12"/>
      <c r="Z149" s="12"/>
      <c r="AA149" s="12"/>
      <c r="AB149" s="12"/>
      <c r="AC149" s="12"/>
      <c r="AD149" s="12"/>
      <c r="AE149" s="12"/>
      <c r="AF149" s="12"/>
      <c r="AG149" s="13"/>
      <c r="AH149" s="13"/>
      <c r="AI149" s="13"/>
      <c r="AJ149" s="12"/>
      <c r="AK149" s="12"/>
      <c r="AL149" s="12"/>
      <c r="AM149" s="12"/>
      <c r="AN149" s="12"/>
      <c r="AO149" s="12"/>
      <c r="AP149" s="65"/>
      <c r="AQ149" s="12"/>
      <c r="AR149" s="65"/>
      <c r="AS149" s="12"/>
      <c r="AT149" s="13"/>
      <c r="AU149" s="13"/>
      <c r="AV149" s="13"/>
      <c r="AW149" s="13"/>
      <c r="AX149" s="13"/>
      <c r="AY149" s="3"/>
      <c r="AZ149" s="3"/>
      <c r="BA149" s="12"/>
      <c r="BB149" s="12"/>
      <c r="BC149" s="12"/>
      <c r="BD149" s="12"/>
      <c r="BE149" s="12"/>
      <c r="BH149" s="12"/>
      <c r="BM149" s="14"/>
    </row>
    <row r="150" spans="4:65" s="4" customFormat="1" ht="18" customHeight="1">
      <c r="D150" s="4" t="s">
        <v>91</v>
      </c>
      <c r="F150" s="76"/>
      <c r="G150" s="48"/>
      <c r="H150" s="49"/>
      <c r="I150" s="42"/>
      <c r="J150" s="13"/>
      <c r="K150" s="13"/>
      <c r="L150" s="44"/>
      <c r="M150" s="44"/>
      <c r="N150" s="179"/>
      <c r="O150" s="45"/>
      <c r="P150" s="46"/>
      <c r="Q150" s="179"/>
      <c r="R150" s="43"/>
      <c r="S150" s="179"/>
      <c r="T150" s="3"/>
      <c r="W150" s="3"/>
      <c r="X150" s="12"/>
      <c r="Y150" s="12"/>
      <c r="Z150" s="12"/>
      <c r="AA150" s="12"/>
      <c r="AB150" s="12"/>
      <c r="AC150" s="12"/>
      <c r="AD150" s="12"/>
      <c r="AE150" s="12"/>
      <c r="AF150" s="12"/>
      <c r="AG150" s="13"/>
      <c r="AH150" s="13"/>
      <c r="AI150" s="13"/>
      <c r="AJ150" s="12"/>
      <c r="AK150" s="12"/>
      <c r="AL150" s="12"/>
      <c r="AM150" s="12"/>
      <c r="AN150" s="12"/>
      <c r="AO150" s="12"/>
      <c r="AP150" s="65"/>
      <c r="AQ150" s="12"/>
      <c r="AR150" s="65"/>
      <c r="AS150" s="12"/>
      <c r="AT150" s="13"/>
      <c r="AU150" s="13"/>
      <c r="AV150" s="13"/>
      <c r="AW150" s="13"/>
      <c r="AX150" s="13"/>
      <c r="AY150" s="3"/>
      <c r="AZ150" s="3"/>
      <c r="BA150" s="12"/>
      <c r="BB150" s="12"/>
      <c r="BC150" s="12"/>
      <c r="BD150" s="12"/>
      <c r="BE150" s="12"/>
      <c r="BH150" s="12"/>
      <c r="BM150" s="14"/>
    </row>
    <row r="151" spans="4:65" s="4" customFormat="1" ht="18" customHeight="1">
      <c r="D151" s="4" t="s">
        <v>113</v>
      </c>
      <c r="F151" s="76"/>
      <c r="G151" s="48"/>
      <c r="H151" s="49"/>
      <c r="I151" s="42"/>
      <c r="J151" s="13"/>
      <c r="K151" s="13"/>
      <c r="L151" s="44"/>
      <c r="M151" s="44"/>
      <c r="N151" s="179"/>
      <c r="O151" s="45"/>
      <c r="P151" s="46"/>
      <c r="Q151" s="179"/>
      <c r="R151" s="43"/>
      <c r="S151" s="179"/>
      <c r="T151" s="3"/>
      <c r="W151" s="3"/>
      <c r="X151" s="12"/>
      <c r="Y151" s="12"/>
      <c r="Z151" s="12"/>
      <c r="AA151" s="12"/>
      <c r="AB151" s="12"/>
      <c r="AC151" s="12"/>
      <c r="AD151" s="12"/>
      <c r="AE151" s="12"/>
      <c r="AF151" s="12"/>
      <c r="AG151" s="13"/>
      <c r="AH151" s="13"/>
      <c r="AI151" s="13"/>
      <c r="AJ151" s="12"/>
      <c r="AK151" s="12"/>
      <c r="AL151" s="12"/>
      <c r="AM151" s="12"/>
      <c r="AN151" s="12"/>
      <c r="AO151" s="12"/>
      <c r="AP151" s="65"/>
      <c r="AQ151" s="12"/>
      <c r="AR151" s="65"/>
      <c r="AS151" s="12"/>
      <c r="AT151" s="13"/>
      <c r="AU151" s="13"/>
      <c r="AV151" s="13"/>
      <c r="AW151" s="13"/>
      <c r="AX151" s="13"/>
      <c r="AY151" s="3"/>
      <c r="AZ151" s="3"/>
      <c r="BA151" s="12"/>
      <c r="BB151" s="12"/>
      <c r="BC151" s="12"/>
      <c r="BD151" s="12"/>
      <c r="BE151" s="12"/>
      <c r="BH151" s="12"/>
      <c r="BM151" s="14"/>
    </row>
    <row r="152" spans="4:65" s="4" customFormat="1" ht="18" customHeight="1">
      <c r="D152" s="222" t="s">
        <v>202</v>
      </c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3"/>
      <c r="W152" s="3"/>
      <c r="X152" s="12"/>
      <c r="Y152" s="12"/>
      <c r="Z152" s="12"/>
      <c r="AA152" s="12"/>
      <c r="AB152" s="12"/>
      <c r="AC152" s="12"/>
      <c r="AD152" s="12"/>
      <c r="AE152" s="12"/>
      <c r="AF152" s="12"/>
      <c r="AG152" s="13"/>
      <c r="AH152" s="13"/>
      <c r="AI152" s="13"/>
      <c r="AJ152" s="12"/>
      <c r="AK152" s="12"/>
      <c r="AL152" s="12"/>
      <c r="AM152" s="12"/>
      <c r="AN152" s="12"/>
      <c r="AO152" s="12"/>
      <c r="AP152" s="65"/>
      <c r="AQ152" s="12"/>
      <c r="AR152" s="65"/>
      <c r="AS152" s="12"/>
      <c r="AT152" s="13"/>
      <c r="AU152" s="13"/>
      <c r="AV152" s="13"/>
      <c r="AW152" s="13"/>
      <c r="AX152" s="13"/>
      <c r="AY152" s="3"/>
      <c r="AZ152" s="3"/>
      <c r="BA152" s="12"/>
      <c r="BB152" s="12"/>
      <c r="BC152" s="12"/>
      <c r="BD152" s="12"/>
      <c r="BE152" s="12"/>
      <c r="BH152" s="12"/>
      <c r="BM152" s="14"/>
    </row>
    <row r="153" spans="4:65" s="4" customFormat="1" ht="18" customHeight="1">
      <c r="D153" s="202"/>
      <c r="E153" s="202"/>
      <c r="F153" s="202"/>
      <c r="G153" s="202"/>
      <c r="H153" s="202"/>
      <c r="I153" s="202"/>
      <c r="J153" s="202"/>
      <c r="K153" s="202"/>
      <c r="L153" s="202"/>
      <c r="M153" s="202"/>
      <c r="N153" s="202"/>
      <c r="O153" s="202"/>
      <c r="P153" s="202"/>
      <c r="Q153" s="202"/>
      <c r="R153" s="202"/>
      <c r="S153" s="202"/>
      <c r="T153" s="3"/>
      <c r="W153" s="3"/>
      <c r="X153" s="12"/>
      <c r="Y153" s="12"/>
      <c r="Z153" s="12"/>
      <c r="AA153" s="12"/>
      <c r="AB153" s="12"/>
      <c r="AC153" s="12"/>
      <c r="AD153" s="12"/>
      <c r="AE153" s="12"/>
      <c r="AF153" s="12"/>
      <c r="AG153" s="13"/>
      <c r="AH153" s="13"/>
      <c r="AI153" s="13"/>
      <c r="AJ153" s="12"/>
      <c r="AK153" s="12"/>
      <c r="AL153" s="12"/>
      <c r="AM153" s="12"/>
      <c r="AN153" s="12"/>
      <c r="AO153" s="12"/>
      <c r="AP153" s="65"/>
      <c r="AQ153" s="12"/>
      <c r="AR153" s="65"/>
      <c r="AS153" s="12"/>
      <c r="AT153" s="13"/>
      <c r="AU153" s="13"/>
      <c r="AV153" s="13"/>
      <c r="AW153" s="13"/>
      <c r="AX153" s="13"/>
      <c r="AY153" s="3"/>
      <c r="AZ153" s="3"/>
      <c r="BA153" s="12"/>
      <c r="BB153" s="12"/>
      <c r="BC153" s="12"/>
      <c r="BD153" s="12"/>
      <c r="BE153" s="12"/>
      <c r="BH153" s="12"/>
      <c r="BM153" s="14"/>
    </row>
    <row r="154" spans="6:19" ht="18" customHeight="1">
      <c r="F154" s="77"/>
      <c r="H154" s="197"/>
      <c r="N154" s="180"/>
      <c r="Q154" s="180"/>
      <c r="S154" s="180"/>
    </row>
    <row r="155" spans="6:19" ht="18" customHeight="1">
      <c r="F155" s="77"/>
      <c r="H155" s="197"/>
      <c r="N155" s="180"/>
      <c r="Q155" s="180"/>
      <c r="S155" s="180"/>
    </row>
    <row r="156" spans="6:19" ht="18" customHeight="1">
      <c r="F156" s="77"/>
      <c r="H156" s="197"/>
      <c r="N156" s="180"/>
      <c r="Q156" s="180"/>
      <c r="S156" s="180"/>
    </row>
    <row r="157" spans="6:19" ht="18" customHeight="1">
      <c r="F157" s="77"/>
      <c r="H157" s="197"/>
      <c r="N157" s="180"/>
      <c r="Q157" s="180"/>
      <c r="S157" s="180"/>
    </row>
    <row r="158" spans="6:19" ht="18" customHeight="1">
      <c r="F158" s="77"/>
      <c r="H158" s="197"/>
      <c r="N158" s="180"/>
      <c r="Q158" s="180"/>
      <c r="S158" s="180"/>
    </row>
    <row r="159" spans="6:19" ht="18" customHeight="1">
      <c r="F159" s="77"/>
      <c r="H159" s="197"/>
      <c r="N159" s="180"/>
      <c r="Q159" s="180"/>
      <c r="S159" s="180"/>
    </row>
    <row r="160" spans="6:19" ht="18" customHeight="1">
      <c r="F160" s="77"/>
      <c r="H160" s="197"/>
      <c r="N160" s="180"/>
      <c r="Q160" s="180"/>
      <c r="S160" s="180"/>
    </row>
    <row r="161" spans="6:19" ht="18" customHeight="1">
      <c r="F161" s="77"/>
      <c r="H161" s="197"/>
      <c r="N161" s="180"/>
      <c r="Q161" s="180"/>
      <c r="S161" s="180"/>
    </row>
    <row r="162" spans="6:19" ht="18" customHeight="1">
      <c r="F162" s="77"/>
      <c r="H162" s="197"/>
      <c r="N162" s="180"/>
      <c r="Q162" s="180"/>
      <c r="S162" s="180"/>
    </row>
    <row r="163" spans="6:19" ht="18" customHeight="1">
      <c r="F163" s="77"/>
      <c r="H163" s="197"/>
      <c r="N163" s="180"/>
      <c r="Q163" s="180"/>
      <c r="S163" s="180"/>
    </row>
    <row r="164" spans="6:19" ht="13.5" customHeight="1">
      <c r="F164" s="77"/>
      <c r="H164" s="197"/>
      <c r="N164" s="180"/>
      <c r="Q164" s="180"/>
      <c r="S164" s="180"/>
    </row>
    <row r="165" spans="6:19" ht="15.75" customHeight="1">
      <c r="F165" s="77"/>
      <c r="H165" s="197"/>
      <c r="N165" s="180"/>
      <c r="Q165" s="180"/>
      <c r="S165" s="180"/>
    </row>
    <row r="166" spans="6:19" ht="15.75" customHeight="1">
      <c r="F166" s="77"/>
      <c r="H166" s="197"/>
      <c r="N166" s="180"/>
      <c r="Q166" s="180"/>
      <c r="S166" s="180"/>
    </row>
    <row r="167" spans="6:19" ht="15.75" customHeight="1">
      <c r="F167" s="77"/>
      <c r="H167" s="197"/>
      <c r="N167" s="180"/>
      <c r="Q167" s="180"/>
      <c r="S167" s="180"/>
    </row>
    <row r="168" spans="6:19" ht="15.75" customHeight="1">
      <c r="F168" s="77"/>
      <c r="H168" s="197"/>
      <c r="N168" s="180"/>
      <c r="Q168" s="180"/>
      <c r="S168" s="180"/>
    </row>
    <row r="169" spans="6:19" ht="12.75">
      <c r="F169" s="77"/>
      <c r="H169" s="197"/>
      <c r="N169" s="180"/>
      <c r="Q169" s="180"/>
      <c r="S169" s="180"/>
    </row>
    <row r="170" spans="6:19" ht="12.75">
      <c r="F170" s="77"/>
      <c r="H170" s="197"/>
      <c r="N170" s="180"/>
      <c r="Q170" s="180"/>
      <c r="S170" s="180"/>
    </row>
    <row r="171" spans="6:19" ht="12.75">
      <c r="F171" s="77"/>
      <c r="H171" s="197"/>
      <c r="N171" s="180"/>
      <c r="Q171" s="180"/>
      <c r="S171" s="180"/>
    </row>
    <row r="172" spans="6:19" ht="12.75">
      <c r="F172" s="77"/>
      <c r="H172" s="197"/>
      <c r="N172" s="180"/>
      <c r="Q172" s="180"/>
      <c r="S172" s="180"/>
    </row>
    <row r="173" spans="6:19" ht="12.75">
      <c r="F173" s="77"/>
      <c r="H173" s="197"/>
      <c r="N173" s="180"/>
      <c r="Q173" s="180"/>
      <c r="S173" s="180"/>
    </row>
    <row r="174" spans="6:19" ht="13.5" customHeight="1">
      <c r="F174" s="77"/>
      <c r="H174" s="197"/>
      <c r="N174" s="180"/>
      <c r="Q174" s="180"/>
      <c r="S174" s="180"/>
    </row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</sheetData>
  <sheetProtection password="ECC8" sheet="1" objects="1" scenarios="1"/>
  <mergeCells count="25">
    <mergeCell ref="L37:N37"/>
    <mergeCell ref="J37:K37"/>
    <mergeCell ref="D6:S6"/>
    <mergeCell ref="D7:S7"/>
    <mergeCell ref="O9:S9"/>
    <mergeCell ref="D12:F12"/>
    <mergeCell ref="L11:L12"/>
    <mergeCell ref="K11:K12"/>
    <mergeCell ref="J11:J12"/>
    <mergeCell ref="AW37:AY37"/>
    <mergeCell ref="AT37:AV37"/>
    <mergeCell ref="R37:S37"/>
    <mergeCell ref="O37:Q37"/>
    <mergeCell ref="R16:S16"/>
    <mergeCell ref="O10:Q10"/>
    <mergeCell ref="D2:S2"/>
    <mergeCell ref="M11:M12"/>
    <mergeCell ref="O11:Q11"/>
    <mergeCell ref="O13:Q13"/>
    <mergeCell ref="O14:Q14"/>
    <mergeCell ref="O16:Q16"/>
    <mergeCell ref="L16:N16"/>
    <mergeCell ref="J16:K16"/>
    <mergeCell ref="D14:E17"/>
    <mergeCell ref="D11:F11"/>
  </mergeCells>
  <dataValidations count="2">
    <dataValidation type="list" allowBlank="1" showInputMessage="1" showErrorMessage="1" sqref="E19 E21:E27">
      <formula1>'=|;-}'!$E$40:$E$168</formula1>
    </dataValidation>
    <dataValidation type="list" allowBlank="1" showInputMessage="1" showErrorMessage="1" prompt="=$E$37:$E$176" sqref="E20">
      <formula1>'=|;-}'!$E$40:$E$168</formula1>
    </dataValidation>
  </dataValidations>
  <hyperlinks>
    <hyperlink ref="O13" r:id="rId1" display="www.plainscotton.org"/>
    <hyperlink ref="L4" r:id="rId2" display="http://www.plainscotton.org"/>
  </hyperlinks>
  <printOptions/>
  <pageMargins left="0.75" right="0.75" top="1" bottom="1" header="0.5" footer="0.5"/>
  <pageSetup orientation="portrait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Haldenby</dc:creator>
  <cp:keywords/>
  <dc:description/>
  <cp:lastModifiedBy>Reviewer</cp:lastModifiedBy>
  <cp:lastPrinted>2007-02-18T04:11:32Z</cp:lastPrinted>
  <dcterms:created xsi:type="dcterms:W3CDTF">2005-02-04T17:33:24Z</dcterms:created>
  <dcterms:modified xsi:type="dcterms:W3CDTF">2011-11-03T22:11:31Z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